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04" documentId="8_{557D3102-DDC2-4831-93C3-0FA8A4B7BEEE}" xr6:coauthVersionLast="47" xr6:coauthVersionMax="47" xr10:uidLastSave="{886307B8-65DC-47C8-87BB-752CBC2D9E85}"/>
  <bookViews>
    <workbookView xWindow="2070" yWindow="418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L7" i="5"/>
  <c r="N7" i="6"/>
  <c r="N12" i="6" s="1"/>
  <c r="U19" i="6" l="1"/>
  <c r="U20" i="6" s="1"/>
  <c r="V27" i="8"/>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<sst xmlns="http://schemas.openxmlformats.org/spreadsheetml/2006/main" count="277" uniqueCount="205">
  <si>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</si>
  <si>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</si>
  <si>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</si>
  <si>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</si>
  <si>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</si>
  <si>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</si>
  <si>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</si>
  <si>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</si>
  <si>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</si>
  <si>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</si>
  <si>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</si>
  <si>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</si>
  <si>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</si>
  <si>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</si>
  <si>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</si>
  <si>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</si>
  <si>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</si>
  <si>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</si>
  <si>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</si>
  <si>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</si>
  <si>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</si>
  <si>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</si>
  <si>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</si>
  <si>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</si>
  <si>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</si>
  <si>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</si>
  <si>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</si>
  <si>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</si>
  <si>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</si>
  <si>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</si>
  <si>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</si>
  <si>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</si>
  <si>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</si>
  <si>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</si>
  <si>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</si>
  <si>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</si>
  <si>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</si>
  <si>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</si>
  <si>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</si>
  <si>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</si>
  <si>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</si>
  <si>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</si>
  <si>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</si>
  <si>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</si>
  <si>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</si>
  <si>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</si>
  <si>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</si>
  <si>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</si>
  <si>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</si>
  <si>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</si>
  <si>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</si>
  <si>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</si>
  <si>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</si>
  <si>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</si>
  <si>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</si>
  <si>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</si>
  <si>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</si>
  <si>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</si>
  <si>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</si>
  <si>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</si>
  <si>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</si>
  <si>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</si>
  <si>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</si>
  <si>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</si>
  <si>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</si>
  <si>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</si>
  <si>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</si>
  <si>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</si>
  <si>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</si>
  <si>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</si>
  <si>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</si>
  <si>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</si>
  <si>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</si>
  <si>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</si>
  <si>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</si>
  <si>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</si>
  <si>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</si>
  <si>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</si>
  <si>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</si>
  <si>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</si>
  <si>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</si>
  <si>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</si>
  <si>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</si>
  <si>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</si>
  <si>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</si>
  <si>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</si>
  <si>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</si>
  <si>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</si>
  <si>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</si>
  <si>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</si>
  <si>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</si>
  <si>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</si>
  <si>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</si>
  <si>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</si>
  <si>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</si>
  <si>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</si>
  <si>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</si>
  <si>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</si>
  <si>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</si>
  <si>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</si>
  <si>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</si>
  <si>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</si>
  <si>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</si>
  <si>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</si>
  <si>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</si>
  <si>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</si>
  <si>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</si>
  <si>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</si>
  <si>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</si>
  <si>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</si>
  <si>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</si>
  <si>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</si>
  <si>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</si>
  <si>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</si>
  <si>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</si>
  <si>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</si>
  <si>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</si>
  <si>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</si>
  <si>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</si>
  <si>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</si>
  <si>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</si>
  <si>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</si>
  <si>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</si>
  <si>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</si>
  <si>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</si>
  <si>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</si>
  <si>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</si>
  <si>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</si>
  <si>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</si>
  <si>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</si>
  <si>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</si>
  <si>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</si>
  <si>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</si>
  <si>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</si>
  <si>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</si>
  <si>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</si>
  <si>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</si>
  <si>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</si>
  <si>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</si>
  <si>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</si>
  <si>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</si>
  <si>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</si>
  <si>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</si>
  <si>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</si>
  <si>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</si>
  <si>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</si>
  <si>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</si>
  <si>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</si>
  <si>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</si>
  <si>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</si>
  <si>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</si>
  <si>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</si>
  <si>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</si>
  <si>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</si>
  <si>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</si>
  <si>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</si>
  <si>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</si>
  <si>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</si>
  <si>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</si>
  <si>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</si>
  <si>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</si>
  <si>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</si>
  <si>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</si>
  <si>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</si>
  <si>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</si>
  <si>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</si>
  <si>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</si>
  <si>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</si>
  <si>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</si>
  <si>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</si>
  <si>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</si>
  <si>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</si>
  <si>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</si>
  <si>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</si>
  <si>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</si>
  <si>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</si>
  <si>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</si>
  <si>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</si>
  <si>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</si>
  <si>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</si>
  <si>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</si>
  <si>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</si>
  <si>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</si>
  <si>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</si>
  <si>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</si>
  <si>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</si>
  <si>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</si>
  <si>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</si>
  <si>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</si>
  <si>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</si>
  <si>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</si>
  <si>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</si>
  <si>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</si>
  <si>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</si>
  <si>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</si>
  <si>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</si>
  <si>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Central Otago Stand-alone Council</t>
  </si>
  <si>
    <t>RFI Table F10; Lines F10.62 - F10.61 + F10.70</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</si>
  <si>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</si>
  <si>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</si>
  <si>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</si>
  <si>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</si>
  <si>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</si>
  <si>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Consistent with reaching a percentage split of 30% for short-medium life assets by 2051. This split is in line with international experience</t>
  </si>
  <si>
    <t>Consistent with reaching a percentage split of 70% for long life assets by 2051. This split is in line with international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</si>
</sst>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9">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11" xfId="0" applyBorder="1" applyAlignment="1">
      <alignment vertical="top"/>
    </xf>
    <xf numFmtId="0" fontId="0" fillId="0" borderId="9" xfId="0" applyFont="1" applyFill="1" applyBorder="1" applyAlignment="1">
      <alignment vertical="top" wrapText="1"/>
    </xf>
    <xf numFmtId="0" fontId="18" fillId="0" borderId="0" xfId="0" applyFont="1" applyAlignment="1">
      <alignment horizontal="left" vertical="center" wrapText="1"/>
    </xf>
    <xf numFmtId="0" fontId="16" fillId="0" borderId="0" xfId="0" applyFont="1" applyAlignment="1">
      <alignment vertical="center"/>
    </xf>
    <xf numFmtId="166" fontId="16" fillId="0" borderId="0" xfId="2" applyNumberFormat="1" applyFont="1" applyFill="1" applyAlignment="1">
      <alignment horizontal="center" vertical="center"/>
    </xf>
    <xf numFmtId="9" fontId="16" fillId="0" borderId="0" xfId="3" applyFont="1" applyFill="1" applyAlignment="1">
      <alignment horizontal="center" vertical="center"/>
    </xf>
    <xf numFmtId="167" fontId="16" fillId="0" borderId="0" xfId="0" applyNumberFormat="1" applyFont="1" applyAlignment="1">
      <alignment horizontal="center" vertical="center"/>
    </xf>
    <xf numFmtId="0" fontId="16" fillId="0" borderId="0" xfId="0" applyFont="1" applyFill="1" applyAlignment="1">
      <alignment vertical="center"/>
    </xf>
    <xf numFmtId="3" fontId="16" fillId="0" borderId="0" xfId="1" applyNumberFormat="1" applyFont="1" applyFill="1" applyAlignment="1">
      <alignment horizontal="center" vertical="center"/>
    </xf>
    <xf numFmtId="0" fontId="17" fillId="0" borderId="0" xfId="0" applyFont="1" applyFill="1" applyAlignment="1">
      <alignment vertical="center"/>
    </xf>
    <xf numFmtId="166" fontId="17" fillId="0" borderId="0" xfId="2" applyNumberFormat="1" applyFont="1" applyFill="1" applyAlignment="1">
      <alignment horizontal="center" vertical="center"/>
    </xf>
    <xf numFmtId="2" fontId="16" fillId="0" borderId="0" xfId="2" applyNumberFormat="1" applyFont="1" applyFill="1" applyAlignment="1">
      <alignment vertical="center"/>
    </xf>
    <xf numFmtId="1" fontId="17" fillId="0" borderId="0" xfId="2" applyNumberFormat="1" applyFont="1" applyFill="1" applyAlignment="1">
      <alignment horizontal="right" vertical="center"/>
    </xf>
    <xf numFmtId="173" fontId="16" fillId="0" borderId="0" xfId="0" applyNumberFormat="1" applyFont="1" applyFill="1" applyAlignment="1">
      <alignment vertical="center"/>
    </xf>
    <xf numFmtId="167" fontId="16" fillId="0" borderId="0" xfId="0" applyNumberFormat="1" applyFont="1" applyFill="1" applyAlignment="1">
      <alignment horizontal="center" vertical="center"/>
    </xf>
    <xf numFmtId="0" fontId="15" fillId="0" borderId="0" xfId="0" applyFont="1" applyFill="1" applyAlignment="1">
      <alignment vertical="center"/>
    </xf>
    <xf numFmtId="2" fontId="16" fillId="0" borderId="0" xfId="2" applyNumberFormat="1" applyFont="1" applyFill="1" applyAlignment="1">
      <alignment horizontal="right" vertical="center"/>
    </xf>
    <xf numFmtId="0" fontId="0" fillId="0" borderId="0" xfId="0" applyAlignment="1">
      <alignmen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196</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382250000.00000006</v>
      </c>
      <c r="C6" s="12">
        <f ca="1">B6+Depreciation!C18+'Cash Flow'!C13</f>
        <v>390181075.36740482</v>
      </c>
      <c r="D6" s="1">
        <f ca="1">C6+Depreciation!D18</f>
        <v>443391383.15363842</v>
      </c>
      <c r="E6" s="1">
        <f ca="1">D6+Depreciation!E18</f>
        <v>499413857.14185071</v>
      </c>
      <c r="F6" s="1">
        <f ca="1">E6+Depreciation!F18</f>
        <v>558373988.61379516</v>
      </c>
      <c r="G6" s="1">
        <f ca="1">F6+Depreciation!G18</f>
        <v>620402420.63506675</v>
      </c>
      <c r="H6" s="1">
        <f ca="1">G6+Depreciation!H18</f>
        <v>685635149.26619518</v>
      </c>
      <c r="I6" s="1">
        <f ca="1">H6+Depreciation!I18</f>
        <v>754213732.37582147</v>
      </c>
      <c r="J6" s="1">
        <f ca="1">I6+Depreciation!J18</f>
        <v>826285506.33645117</v>
      </c>
      <c r="K6" s="1">
        <f ca="1">J6+Depreciation!K18</f>
        <v>902003810.8934443</v>
      </c>
      <c r="L6" s="1">
        <f ca="1">K6+Depreciation!L18</f>
        <v>981528222.50843239</v>
      </c>
      <c r="M6" s="1">
        <f ca="1">L6+Depreciation!M18</f>
        <v>1065024796.4892608</v>
      </c>
      <c r="N6" s="1">
        <f ca="1">M6+Depreciation!N18</f>
        <v>1152666318.2298496</v>
      </c>
      <c r="O6" s="1">
        <f ca="1">N6+Depreciation!O18</f>
        <v>1244632563.895067</v>
      </c>
      <c r="P6" s="1">
        <f ca="1">O6+Depreciation!P18</f>
        <v>1341110570.8978269</v>
      </c>
      <c r="Q6" s="1">
        <f ca="1">P6+Depreciation!Q18</f>
        <v>1442294918.5281708</v>
      </c>
      <c r="R6" s="1">
        <f ca="1">Q6+Depreciation!R18</f>
        <v>1548388019.1070933</v>
      </c>
      <c r="S6" s="1">
        <f ca="1">R6+Depreciation!S18</f>
        <v>1659600420.0513301</v>
      </c>
      <c r="T6" s="1">
        <f ca="1">S6+Depreciation!T18</f>
        <v>1776151117.2492681</v>
      </c>
      <c r="U6" s="1">
        <f ca="1">T6+Depreciation!U18</f>
        <v>1898267880.1625776</v>
      </c>
      <c r="V6" s="1">
        <f ca="1">U6+Depreciation!V18</f>
        <v>2026187589.0831115</v>
      </c>
      <c r="W6" s="1">
        <f ca="1">V6+Depreciation!W18</f>
        <v>2160156584.990109</v>
      </c>
      <c r="X6" s="1">
        <f ca="1">W6+Depreciation!X18</f>
        <v>2300431032.4687691</v>
      </c>
      <c r="Y6" s="1">
        <f ca="1">X6+Depreciation!Y18</f>
        <v>2447277296.1678696</v>
      </c>
      <c r="Z6" s="1">
        <f ca="1">Y6+Depreciation!Z18</f>
        <v>2600972331.2913008</v>
      </c>
      <c r="AA6" s="1">
        <f ca="1">Z6+Depreciation!AA18</f>
        <v>2761804088.6361914</v>
      </c>
      <c r="AB6" s="1">
        <f ca="1">AA6+Depreciation!AB18</f>
        <v>2930071934.7087488</v>
      </c>
      <c r="AC6" s="1">
        <f ca="1">AB6+Depreciation!AC18</f>
        <v>3106087087.4680223</v>
      </c>
      <c r="AD6" s="1">
        <f ca="1">AC6+Depreciation!AD18</f>
        <v>3290173068.2675834</v>
      </c>
      <c r="AE6" s="1">
        <f ca="1">AD6+Depreciation!AE18</f>
        <v>3482666170.5855851</v>
      </c>
      <c r="AF6" s="1"/>
      <c r="AG6" s="1"/>
      <c r="AH6" s="1"/>
      <c r="AI6" s="1"/>
      <c r="AJ6" s="1"/>
      <c r="AK6" s="1"/>
      <c r="AL6" s="1"/>
      <c r="AM6" s="1"/>
      <c r="AN6" s="1"/>
      <c r="AO6" s="1"/>
      <c r="AP6" s="1"/>
    </row>
    <row r="7" spans="1:42" x14ac:dyDescent="0.35">
      <c r="A7" t="s">
        <v>12</v>
      </c>
      <c r="B7" s="1">
        <f>Depreciation!C12</f>
        <v>198239474.96185431</v>
      </c>
      <c r="C7" s="1">
        <f>Depreciation!D12</f>
        <v>206656648.34808794</v>
      </c>
      <c r="D7" s="1">
        <f>Depreciation!E12</f>
        <v>216452607.63550022</v>
      </c>
      <c r="E7" s="1">
        <f>Depreciation!F12</f>
        <v>227706975.9362191</v>
      </c>
      <c r="F7" s="1">
        <f>Depreciation!G12</f>
        <v>240503060.36478591</v>
      </c>
      <c r="G7" s="1">
        <f>Depreciation!H12</f>
        <v>254928006.28024298</v>
      </c>
      <c r="H7" s="1">
        <f>Depreciation!I12</f>
        <v>271072957.62729639</v>
      </c>
      <c r="I7" s="1">
        <f>Depreciation!J12</f>
        <v>289033223.60895091</v>
      </c>
      <c r="J7" s="1">
        <f>Depreciation!K12</f>
        <v>308908451.93164164</v>
      </c>
      <c r="K7" s="1">
        <f>Depreciation!L12</f>
        <v>330802808.87282974</v>
      </c>
      <c r="L7" s="1">
        <f>Depreciation!M12</f>
        <v>354825166.43029648</v>
      </c>
      <c r="M7" s="1">
        <f>Depreciation!N12</f>
        <v>381089296.82197595</v>
      </c>
      <c r="N7" s="1">
        <f>Depreciation!O12</f>
        <v>409714074.61511898</v>
      </c>
      <c r="O7" s="1">
        <f>Depreciation!P12</f>
        <v>440823686.77389812</v>
      </c>
      <c r="P7" s="1">
        <f>Depreciation!Q12</f>
        <v>474547850.92525393</v>
      </c>
      <c r="Q7" s="1">
        <f>Depreciation!R12</f>
        <v>511022042.15386069</v>
      </c>
      <c r="R7" s="1">
        <f>Depreciation!S12</f>
        <v>550387728.64857149</v>
      </c>
      <c r="S7" s="1">
        <f>Depreciation!T12</f>
        <v>592792616.53459895</v>
      </c>
      <c r="T7" s="1">
        <f>Depreciation!U12</f>
        <v>638390904.23801661</v>
      </c>
      <c r="U7" s="1">
        <f>Depreciation!V12</f>
        <v>687343546.74194229</v>
      </c>
      <c r="V7" s="1">
        <f>Depreciation!W12</f>
        <v>739818530.10700011</v>
      </c>
      <c r="W7" s="1">
        <f>Depreciation!X12</f>
        <v>795991156.64237857</v>
      </c>
      <c r="X7" s="1">
        <f>Depreciation!Y12</f>
        <v>856044341.12801242</v>
      </c>
      <c r="Y7" s="1">
        <f>Depreciation!Z12</f>
        <v>920168918.50314558</v>
      </c>
      <c r="Z7" s="1">
        <f>Depreciation!AA12</f>
        <v>988563963.45179296</v>
      </c>
      <c r="AA7" s="1">
        <f>Depreciation!AB12</f>
        <v>1061437122.3314271</v>
      </c>
      <c r="AB7" s="1">
        <f>Depreciation!AC12</f>
        <v>1139004957.907604</v>
      </c>
      <c r="AC7" s="1">
        <f>Depreciation!AD12</f>
        <v>1221493307.3742094</v>
      </c>
      <c r="AD7" s="1">
        <f>Depreciation!AE12</f>
        <v>1309137654.156601</v>
      </c>
      <c r="AE7" s="1">
        <f>Depreciation!AF12</f>
        <v>1402183514.013135</v>
      </c>
      <c r="AF7" s="1"/>
      <c r="AG7" s="1"/>
      <c r="AH7" s="1"/>
      <c r="AI7" s="1"/>
      <c r="AJ7" s="1"/>
      <c r="AK7" s="1"/>
      <c r="AL7" s="1"/>
      <c r="AM7" s="1"/>
      <c r="AN7" s="1"/>
      <c r="AO7" s="1"/>
      <c r="AP7" s="1"/>
    </row>
    <row r="8" spans="1:42" x14ac:dyDescent="0.35">
      <c r="A8" t="s">
        <v>190</v>
      </c>
      <c r="B8" s="1">
        <f t="shared" ref="B8:AE8" si="1">B6-B7</f>
        <v>184010525.03814575</v>
      </c>
      <c r="C8" s="1">
        <f t="shared" ca="1" si="1"/>
        <v>183524427.01931688</v>
      </c>
      <c r="D8" s="1">
        <f ca="1">D6-D7</f>
        <v>226938775.5181382</v>
      </c>
      <c r="E8" s="1">
        <f t="shared" ca="1" si="1"/>
        <v>271706881.20563161</v>
      </c>
      <c r="F8" s="1">
        <f t="shared" ca="1" si="1"/>
        <v>317870928.24900925</v>
      </c>
      <c r="G8" s="1">
        <f t="shared" ca="1" si="1"/>
        <v>365474414.35482377</v>
      </c>
      <c r="H8" s="1">
        <f t="shared" ca="1" si="1"/>
        <v>414562191.63889879</v>
      </c>
      <c r="I8" s="1">
        <f t="shared" ca="1" si="1"/>
        <v>465180508.76687056</v>
      </c>
      <c r="J8" s="1">
        <f t="shared" ca="1" si="1"/>
        <v>517377054.40480953</v>
      </c>
      <c r="K8" s="1">
        <f t="shared" ca="1" si="1"/>
        <v>571201002.02061462</v>
      </c>
      <c r="L8" s="1">
        <f t="shared" ca="1" si="1"/>
        <v>626703056.07813597</v>
      </c>
      <c r="M8" s="1">
        <f t="shared" ca="1" si="1"/>
        <v>683935499.66728485</v>
      </c>
      <c r="N8" s="1">
        <f t="shared" ca="1" si="1"/>
        <v>742952243.6147306</v>
      </c>
      <c r="O8" s="1">
        <f t="shared" ca="1" si="1"/>
        <v>803808877.12116885</v>
      </c>
      <c r="P8" s="1">
        <f t="shared" ca="1" si="1"/>
        <v>866562719.97257304</v>
      </c>
      <c r="Q8" s="1">
        <f t="shared" ca="1" si="1"/>
        <v>931272876.37431014</v>
      </c>
      <c r="R8" s="1">
        <f t="shared" ca="1" si="1"/>
        <v>998000290.45852184</v>
      </c>
      <c r="S8" s="1">
        <f t="shared" ca="1" si="1"/>
        <v>1066807803.5167311</v>
      </c>
      <c r="T8" s="1">
        <f t="shared" ca="1" si="1"/>
        <v>1137760213.0112514</v>
      </c>
      <c r="U8" s="1">
        <f t="shared" ca="1" si="1"/>
        <v>1210924333.4206352</v>
      </c>
      <c r="V8" s="1">
        <f t="shared" ca="1" si="1"/>
        <v>1286369058.9761114</v>
      </c>
      <c r="W8" s="1">
        <f t="shared" ca="1" si="1"/>
        <v>1364165428.3477304</v>
      </c>
      <c r="X8" s="1">
        <f t="shared" ca="1" si="1"/>
        <v>1444386691.3407567</v>
      </c>
      <c r="Y8" s="1">
        <f t="shared" ca="1" si="1"/>
        <v>1527108377.6647239</v>
      </c>
      <c r="Z8" s="1">
        <f t="shared" ca="1" si="1"/>
        <v>1612408367.8395078</v>
      </c>
      <c r="AA8" s="1">
        <f t="shared" ca="1" si="1"/>
        <v>1700366966.3047643</v>
      </c>
      <c r="AB8" s="1">
        <f t="shared" ca="1" si="1"/>
        <v>1791066976.8011448</v>
      </c>
      <c r="AC8" s="1">
        <f t="shared" ca="1" si="1"/>
        <v>1884593780.0938129</v>
      </c>
      <c r="AD8" s="1">
        <f t="shared" ca="1" si="1"/>
        <v>1981035414.1109824</v>
      </c>
      <c r="AE8" s="1">
        <f t="shared" ca="1" si="1"/>
        <v>2080482656.5724502</v>
      </c>
      <c r="AF8" s="1"/>
      <c r="AG8" s="1"/>
      <c r="AH8" s="1"/>
      <c r="AI8" s="1"/>
      <c r="AJ8" s="1"/>
      <c r="AK8" s="1"/>
      <c r="AL8" s="1"/>
      <c r="AM8" s="1"/>
      <c r="AN8" s="1"/>
      <c r="AO8" s="1"/>
      <c r="AP8" s="1"/>
    </row>
    <row r="10" spans="1:42" x14ac:dyDescent="0.35">
      <c r="A10" t="s">
        <v>17</v>
      </c>
      <c r="B10" s="1">
        <f>B8-B11</f>
        <v>165066525.03814575</v>
      </c>
      <c r="C10" s="1">
        <f ca="1">C8-C11</f>
        <v>121992827.42486735</v>
      </c>
      <c r="D10" s="1">
        <f ca="1">D8-D11</f>
        <v>126371147.42151907</v>
      </c>
      <c r="E10" s="1">
        <f t="shared" ref="E10:AE10" ca="1" si="2">E8-E11</f>
        <v>140843476.98035347</v>
      </c>
      <c r="F10" s="1">
        <f t="shared" ca="1" si="2"/>
        <v>163545137.96135765</v>
      </c>
      <c r="G10" s="1">
        <f ca="1">G8-G11</f>
        <v>191266361.7183851</v>
      </c>
      <c r="H10" s="1">
        <f t="shared" ca="1" si="2"/>
        <v>223008370.54563254</v>
      </c>
      <c r="I10" s="1">
        <f t="shared" ca="1" si="2"/>
        <v>257603808.64628318</v>
      </c>
      <c r="J10" s="1">
        <f t="shared" ca="1" si="2"/>
        <v>294862299.22118199</v>
      </c>
      <c r="K10" s="1">
        <f t="shared" ca="1" si="2"/>
        <v>333532163.7447046</v>
      </c>
      <c r="L10" s="1">
        <f t="shared" ca="1" si="2"/>
        <v>373855209.96169686</v>
      </c>
      <c r="M10" s="1">
        <f t="shared" ca="1" si="2"/>
        <v>416104803.67541522</v>
      </c>
      <c r="N10" s="1">
        <f t="shared" ca="1" si="2"/>
        <v>460589017.76631689</v>
      </c>
      <c r="O10" s="1">
        <f t="shared" ca="1" si="2"/>
        <v>506478742.7138803</v>
      </c>
      <c r="P10" s="1">
        <f t="shared" ca="1" si="2"/>
        <v>553961610.25500298</v>
      </c>
      <c r="Q10" s="1">
        <f t="shared" ca="1" si="2"/>
        <v>603247942.19721389</v>
      </c>
      <c r="R10" s="1">
        <f t="shared" ca="1" si="2"/>
        <v>654572854.92516303</v>
      </c>
      <c r="S10" s="1">
        <f t="shared" ca="1" si="2"/>
        <v>706703390.06773913</v>
      </c>
      <c r="T10" s="1">
        <f t="shared" ca="1" si="2"/>
        <v>759706831.49412668</v>
      </c>
      <c r="U10" s="1">
        <f t="shared" ca="1" si="2"/>
        <v>813659913.98736548</v>
      </c>
      <c r="V10" s="1">
        <f t="shared" ca="1" si="2"/>
        <v>868649735.79110956</v>
      </c>
      <c r="W10" s="1">
        <f t="shared" ca="1" si="2"/>
        <v>924774741.50804269</v>
      </c>
      <c r="X10" s="1">
        <f t="shared" ca="1" si="2"/>
        <v>982145780.11122978</v>
      </c>
      <c r="Y10" s="1">
        <f t="shared" ca="1" si="2"/>
        <v>1040887243.1268184</v>
      </c>
      <c r="Z10" s="1">
        <f t="shared" ca="1" si="2"/>
        <v>1101138288.3612156</v>
      </c>
      <c r="AA10" s="1">
        <f t="shared" ca="1" si="2"/>
        <v>1161262469.3442628</v>
      </c>
      <c r="AB10" s="1">
        <f t="shared" ca="1" si="2"/>
        <v>1221196527.1219997</v>
      </c>
      <c r="AC10" s="1">
        <f t="shared" ca="1" si="2"/>
        <v>1280875381.6886213</v>
      </c>
      <c r="AD10" s="1">
        <f t="shared" ca="1" si="2"/>
        <v>1340232218.4412842</v>
      </c>
      <c r="AE10" s="1">
        <f t="shared" ca="1" si="2"/>
        <v>1399198589.4470282</v>
      </c>
      <c r="AF10" s="1"/>
      <c r="AG10" s="1"/>
      <c r="AH10" s="1"/>
      <c r="AI10" s="1"/>
      <c r="AJ10" s="1"/>
      <c r="AK10" s="1"/>
      <c r="AL10" s="1"/>
      <c r="AM10" s="1"/>
      <c r="AN10" s="1"/>
      <c r="AO10" s="1"/>
    </row>
    <row r="11" spans="1:42" x14ac:dyDescent="0.35">
      <c r="A11" t="s">
        <v>9</v>
      </c>
      <c r="B11" s="1">
        <f>Assumptions!$C$20</f>
        <v>18944000</v>
      </c>
      <c r="C11" s="1">
        <f ca="1">'Debt worksheet'!D5</f>
        <v>61531599.594449535</v>
      </c>
      <c r="D11" s="1">
        <f ca="1">'Debt worksheet'!E5</f>
        <v>100567628.09661913</v>
      </c>
      <c r="E11" s="1">
        <f ca="1">'Debt worksheet'!F5</f>
        <v>130863404.22527814</v>
      </c>
      <c r="F11" s="1">
        <f ca="1">'Debt worksheet'!G5</f>
        <v>154325790.2876516</v>
      </c>
      <c r="G11" s="1">
        <f ca="1">'Debt worksheet'!H5</f>
        <v>174208052.63643867</v>
      </c>
      <c r="H11" s="1">
        <f ca="1">'Debt worksheet'!I5</f>
        <v>191553821.09326625</v>
      </c>
      <c r="I11" s="1">
        <f ca="1">'Debt worksheet'!J5</f>
        <v>207576700.12058738</v>
      </c>
      <c r="J11" s="1">
        <f ca="1">'Debt worksheet'!K5</f>
        <v>222514755.18362755</v>
      </c>
      <c r="K11" s="1">
        <f ca="1">'Debt worksheet'!L5</f>
        <v>237668838.27591005</v>
      </c>
      <c r="L11" s="1">
        <f ca="1">'Debt worksheet'!M5</f>
        <v>252847846.11643913</v>
      </c>
      <c r="M11" s="1">
        <f ca="1">'Debt worksheet'!N5</f>
        <v>267830695.99186963</v>
      </c>
      <c r="N11" s="1">
        <f ca="1">'Debt worksheet'!O5</f>
        <v>282363225.84841371</v>
      </c>
      <c r="O11" s="1">
        <f ca="1">'Debt worksheet'!P5</f>
        <v>297330134.40728855</v>
      </c>
      <c r="P11" s="1">
        <f ca="1">'Debt worksheet'!Q5</f>
        <v>312601109.71757007</v>
      </c>
      <c r="Q11" s="1">
        <f ca="1">'Debt worksheet'!R5</f>
        <v>328024934.17709625</v>
      </c>
      <c r="R11" s="1">
        <f ca="1">'Debt worksheet'!S5</f>
        <v>343427435.53335881</v>
      </c>
      <c r="S11" s="1">
        <f ca="1">'Debt worksheet'!T5</f>
        <v>360104413.44899201</v>
      </c>
      <c r="T11" s="1">
        <f ca="1">'Debt worksheet'!U5</f>
        <v>378053381.51712477</v>
      </c>
      <c r="U11" s="1">
        <f ca="1">'Debt worksheet'!V5</f>
        <v>397264419.43326974</v>
      </c>
      <c r="V11" s="1">
        <f ca="1">'Debt worksheet'!W5</f>
        <v>417719323.18500179</v>
      </c>
      <c r="W11" s="1">
        <f ca="1">'Debt worksheet'!X5</f>
        <v>439390686.83968771</v>
      </c>
      <c r="X11" s="1">
        <f ca="1">'Debt worksheet'!Y5</f>
        <v>462240911.22952688</v>
      </c>
      <c r="Y11" s="1">
        <f ca="1">'Debt worksheet'!Z5</f>
        <v>486221134.53790545</v>
      </c>
      <c r="Z11" s="1">
        <f ca="1">'Debt worksheet'!AA5</f>
        <v>511270079.47829223</v>
      </c>
      <c r="AA11" s="1">
        <f ca="1">'Debt worksheet'!AB5</f>
        <v>539104496.96050143</v>
      </c>
      <c r="AB11" s="1">
        <f ca="1">'Debt worksheet'!AC5</f>
        <v>569870449.6791451</v>
      </c>
      <c r="AC11" s="1">
        <f ca="1">'Debt worksheet'!AD5</f>
        <v>603718398.40519166</v>
      </c>
      <c r="AD11" s="1">
        <f ca="1">'Debt worksheet'!AE5</f>
        <v>640803195.66969824</v>
      </c>
      <c r="AE11" s="1">
        <f ca="1">'Debt worksheet'!AF5</f>
        <v>681284067.12542188</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816600.40555047337</v>
      </c>
      <c r="D5" s="4">
        <f ca="1">'Profit and Loss'!D9</f>
        <v>5757105.8978304043</v>
      </c>
      <c r="E5" s="4">
        <f ca="1">'Profit and Loss'!E9</f>
        <v>15930738.572140999</v>
      </c>
      <c r="F5" s="4">
        <f ca="1">'Profit and Loss'!F9</f>
        <v>24243377.108852156</v>
      </c>
      <c r="G5" s="4">
        <f ca="1">'Profit and Loss'!G9</f>
        <v>29350085.243917745</v>
      </c>
      <c r="H5" s="4">
        <f ca="1">'Profit and Loss'!H9</f>
        <v>33462014.258843791</v>
      </c>
      <c r="I5" s="4">
        <f ca="1">'Profit and Loss'!I9</f>
        <v>36410752.73525171</v>
      </c>
      <c r="J5" s="4">
        <f ca="1">'Profit and Loss'!J9</f>
        <v>39173452.915935017</v>
      </c>
      <c r="K5" s="4">
        <f ca="1">'Profit and Loss'!K9</f>
        <v>40688993.14201989</v>
      </c>
      <c r="L5" s="4">
        <f ca="1">'Profit and Loss'!L9</f>
        <v>42451046.833270997</v>
      </c>
      <c r="M5" s="4">
        <f ca="1">'Profit and Loss'!M9</f>
        <v>44491366.547931179</v>
      </c>
      <c r="N5" s="4">
        <f ca="1">'Profit and Loss'!N9</f>
        <v>46844861.492365152</v>
      </c>
      <c r="O5" s="4">
        <f ca="1">'Profit and Loss'!O9</f>
        <v>48374559.313199461</v>
      </c>
      <c r="P5" s="4">
        <f ca="1">'Profit and Loss'!P9</f>
        <v>50097419.533699222</v>
      </c>
      <c r="Q5" s="4">
        <f ca="1">'Profit and Loss'!Q9</f>
        <v>52036359.019461885</v>
      </c>
      <c r="R5" s="4">
        <f ca="1">'Profit and Loss'!R9</f>
        <v>54216407.994053192</v>
      </c>
      <c r="S5" s="4">
        <f ca="1">'Profit and Loss'!S9</f>
        <v>55169736.533892602</v>
      </c>
      <c r="T5" s="4">
        <f ca="1">'Profit and Loss'!T9</f>
        <v>56196841.243777864</v>
      </c>
      <c r="U5" s="4">
        <f ca="1">'Profit and Loss'!U9</f>
        <v>57307437.293746829</v>
      </c>
      <c r="V5" s="4">
        <f ca="1">'Profit and Loss'!V9</f>
        <v>58512162.664876282</v>
      </c>
      <c r="W5" s="4">
        <f ca="1">'Profit and Loss'!W9</f>
        <v>59822648.887253851</v>
      </c>
      <c r="X5" s="4">
        <f ca="1">'Profit and Loss'!X9</f>
        <v>61251596.553442687</v>
      </c>
      <c r="Y5" s="4">
        <f ca="1">'Profit and Loss'!Y9</f>
        <v>62812855.90508832</v>
      </c>
      <c r="Z5" s="4">
        <f ca="1">'Profit and Loss'!Z9</f>
        <v>64521512.807911053</v>
      </c>
      <c r="AA5" s="4">
        <f ca="1">'Profit and Loss'!AA9</f>
        <v>64602294.914034203</v>
      </c>
      <c r="AB5" s="4">
        <f ca="1">'Profit and Loss'!AB9</f>
        <v>64628734.474279433</v>
      </c>
      <c r="AC5" s="4">
        <f ca="1">'Profit and Loss'!AC9</f>
        <v>64599368.457050055</v>
      </c>
      <c r="AD5" s="4">
        <f ca="1">'Profit and Loss'!AD9</f>
        <v>64512834.068449154</v>
      </c>
      <c r="AE5" s="4">
        <f ca="1">'Profit and Loss'!AE9</f>
        <v>64367884.079886742</v>
      </c>
      <c r="AF5" s="4">
        <f ca="1">'Profit and Loss'!AF9</f>
        <v>64163403.403209433</v>
      </c>
      <c r="AG5" s="4"/>
      <c r="AH5" s="4"/>
      <c r="AI5" s="4"/>
      <c r="AJ5" s="4"/>
      <c r="AK5" s="4"/>
      <c r="AL5" s="4"/>
      <c r="AM5" s="4"/>
      <c r="AN5" s="4"/>
      <c r="AO5" s="4"/>
      <c r="AP5" s="4"/>
    </row>
    <row r="6" spans="1:42" x14ac:dyDescent="0.35">
      <c r="A6" t="s">
        <v>21</v>
      </c>
      <c r="C6" s="4">
        <f>Depreciation!C8+Depreciation!C9</f>
        <v>7114474.9618542716</v>
      </c>
      <c r="D6" s="4">
        <f>Depreciation!D8+Depreciation!D9</f>
        <v>8417173.3862336092</v>
      </c>
      <c r="E6" s="4">
        <f>Depreciation!E8+Depreciation!E9</f>
        <v>9795959.2874122839</v>
      </c>
      <c r="F6" s="4">
        <f>Depreciation!F8+Depreciation!F9</f>
        <v>11254368.300718891</v>
      </c>
      <c r="G6" s="4">
        <f>Depreciation!G8+Depreciation!G9</f>
        <v>12796084.428566813</v>
      </c>
      <c r="H6" s="4">
        <f>Depreciation!H8+Depreciation!H9</f>
        <v>14424945.915457061</v>
      </c>
      <c r="I6" s="4">
        <f>Depreciation!I8+Depreciation!I9</f>
        <v>16144951.347053437</v>
      </c>
      <c r="J6" s="4">
        <f>Depreciation!J8+Depreciation!J9</f>
        <v>17960265.981654551</v>
      </c>
      <c r="K6" s="4">
        <f>Depreciation!K8+Depreciation!K9</f>
        <v>19875228.322690755</v>
      </c>
      <c r="L6" s="4">
        <f>Depreciation!L8+Depreciation!L9</f>
        <v>21894356.94118806</v>
      </c>
      <c r="M6" s="4">
        <f>Depreciation!M8+Depreciation!M9</f>
        <v>24022357.557466753</v>
      </c>
      <c r="N6" s="4">
        <f>Depreciation!N8+Depreciation!N9</f>
        <v>26264130.391679514</v>
      </c>
      <c r="O6" s="4">
        <f>Depreciation!O8+Depreciation!O9</f>
        <v>28624777.793143041</v>
      </c>
      <c r="P6" s="4">
        <f>Depreciation!P8+Depreciation!P9</f>
        <v>31109612.158779152</v>
      </c>
      <c r="Q6" s="4">
        <f>Depreciation!Q8+Depreciation!Q9</f>
        <v>33724164.151355796</v>
      </c>
      <c r="R6" s="4">
        <f>Depreciation!R8+Depreciation!R9</f>
        <v>36474191.228606768</v>
      </c>
      <c r="S6" s="4">
        <f>Depreciation!S8+Depreciation!S9</f>
        <v>39365686.49471081</v>
      </c>
      <c r="T6" s="4">
        <f>Depreciation!T8+Depreciation!T9</f>
        <v>42404887.886027411</v>
      </c>
      <c r="U6" s="4">
        <f>Depreciation!U8+Depreciation!U9</f>
        <v>45598287.703417689</v>
      </c>
      <c r="V6" s="4">
        <f>Depreciation!V8+Depreciation!V9</f>
        <v>48952642.503925659</v>
      </c>
      <c r="W6" s="4">
        <f>Depreciation!W8+Depreciation!W9</f>
        <v>52474983.365057841</v>
      </c>
      <c r="X6" s="4">
        <f>Depreciation!X8+Depreciation!X9</f>
        <v>56172626.535378456</v>
      </c>
      <c r="Y6" s="4">
        <f>Depreciation!Y8+Depreciation!Y9</f>
        <v>60053184.485633746</v>
      </c>
      <c r="Z6" s="4">
        <f>Depreciation!Z8+Depreciation!Z9</f>
        <v>64124577.375133187</v>
      </c>
      <c r="AA6" s="4">
        <f>Depreciation!AA8+Depreciation!AA9</f>
        <v>68395044.94864732</v>
      </c>
      <c r="AB6" s="4">
        <f>Depreciation!AB8+Depreciation!AB9</f>
        <v>72873158.879634157</v>
      </c>
      <c r="AC6" s="4">
        <f>Depreciation!AC8+Depreciation!AC9</f>
        <v>77567835.576176763</v>
      </c>
      <c r="AD6" s="4">
        <f>Depreciation!AD8+Depreciation!AD9</f>
        <v>82488349.466605365</v>
      </c>
      <c r="AE6" s="4">
        <f>Depreciation!AE8+Depreciation!AE9</f>
        <v>87644346.782391384</v>
      </c>
      <c r="AF6" s="4">
        <f>Depreciation!AF8+Depreciation!AF9</f>
        <v>93045859.856533885</v>
      </c>
      <c r="AG6" s="4"/>
      <c r="AH6" s="4"/>
      <c r="AI6" s="4"/>
      <c r="AJ6" s="4"/>
      <c r="AK6" s="4"/>
      <c r="AL6" s="4"/>
      <c r="AM6" s="4"/>
      <c r="AN6" s="4"/>
      <c r="AO6" s="4"/>
      <c r="AP6" s="4"/>
    </row>
    <row r="7" spans="1:42" x14ac:dyDescent="0.35">
      <c r="A7" t="s">
        <v>23</v>
      </c>
      <c r="C7" s="4">
        <f ca="1">C6+C5</f>
        <v>7931075.367404745</v>
      </c>
      <c r="D7" s="4">
        <f ca="1">D6+D5</f>
        <v>14174279.284064014</v>
      </c>
      <c r="E7" s="4">
        <f t="shared" ref="E7:AF7" ca="1" si="1">E6+E5</f>
        <v>25726697.859553285</v>
      </c>
      <c r="F7" s="4">
        <f t="shared" ca="1" si="1"/>
        <v>35497745.409571044</v>
      </c>
      <c r="G7" s="4">
        <f ca="1">G6+G5</f>
        <v>42146169.672484562</v>
      </c>
      <c r="H7" s="4">
        <f t="shared" ca="1" si="1"/>
        <v>47886960.174300849</v>
      </c>
      <c r="I7" s="4">
        <f t="shared" ca="1" si="1"/>
        <v>52555704.082305148</v>
      </c>
      <c r="J7" s="4">
        <f t="shared" ca="1" si="1"/>
        <v>57133718.897589564</v>
      </c>
      <c r="K7" s="4">
        <f t="shared" ca="1" si="1"/>
        <v>60564221.464710645</v>
      </c>
      <c r="L7" s="4">
        <f t="shared" ca="1" si="1"/>
        <v>64345403.774459057</v>
      </c>
      <c r="M7" s="4">
        <f t="shared" ca="1" si="1"/>
        <v>68513724.10539794</v>
      </c>
      <c r="N7" s="4">
        <f t="shared" ca="1" si="1"/>
        <v>73108991.884044662</v>
      </c>
      <c r="O7" s="4">
        <f t="shared" ca="1" si="1"/>
        <v>76999337.106342494</v>
      </c>
      <c r="P7" s="4">
        <f t="shared" ca="1" si="1"/>
        <v>81207031.692478374</v>
      </c>
      <c r="Q7" s="4">
        <f t="shared" ca="1" si="1"/>
        <v>85760523.170817673</v>
      </c>
      <c r="R7" s="4">
        <f t="shared" ca="1" si="1"/>
        <v>90690599.22265996</v>
      </c>
      <c r="S7" s="4">
        <f t="shared" ca="1" si="1"/>
        <v>94535423.028603405</v>
      </c>
      <c r="T7" s="4">
        <f t="shared" ca="1" si="1"/>
        <v>98601729.129805267</v>
      </c>
      <c r="U7" s="4">
        <f t="shared" ca="1" si="1"/>
        <v>102905724.99716452</v>
      </c>
      <c r="V7" s="4">
        <f t="shared" ca="1" si="1"/>
        <v>107464805.16880193</v>
      </c>
      <c r="W7" s="4">
        <f t="shared" ca="1" si="1"/>
        <v>112297632.25231169</v>
      </c>
      <c r="X7" s="4">
        <f t="shared" ca="1" si="1"/>
        <v>117424223.08882114</v>
      </c>
      <c r="Y7" s="4">
        <f t="shared" ca="1" si="1"/>
        <v>122866040.39072207</v>
      </c>
      <c r="Z7" s="4">
        <f t="shared" ca="1" si="1"/>
        <v>128646090.18304424</v>
      </c>
      <c r="AA7" s="4">
        <f t="shared" ca="1" si="1"/>
        <v>132997339.86268152</v>
      </c>
      <c r="AB7" s="4">
        <f t="shared" ca="1" si="1"/>
        <v>137501893.35391361</v>
      </c>
      <c r="AC7" s="4">
        <f t="shared" ca="1" si="1"/>
        <v>142167204.03322682</v>
      </c>
      <c r="AD7" s="4">
        <f t="shared" ca="1" si="1"/>
        <v>147001183.5350545</v>
      </c>
      <c r="AE7" s="4">
        <f t="shared" ca="1" si="1"/>
        <v>152012230.86227813</v>
      </c>
      <c r="AF7" s="4">
        <f t="shared" ca="1" si="1"/>
        <v>157209263.25974333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50518674.961854279</v>
      </c>
      <c r="D10" s="9">
        <f>Investment!D25</f>
        <v>53210307.786233611</v>
      </c>
      <c r="E10" s="9">
        <f>Investment!E25</f>
        <v>56022473.988212287</v>
      </c>
      <c r="F10" s="9">
        <f>Investment!F25</f>
        <v>58960131.471944496</v>
      </c>
      <c r="G10" s="9">
        <f>Investment!G25</f>
        <v>62028432.021271639</v>
      </c>
      <c r="H10" s="9">
        <f>Investment!H25</f>
        <v>65232728.63112843</v>
      </c>
      <c r="I10" s="9">
        <f>Investment!I25</f>
        <v>68578583.109626278</v>
      </c>
      <c r="J10" s="9">
        <f>Investment!J25</f>
        <v>72071773.960629731</v>
      </c>
      <c r="K10" s="9">
        <f>Investment!K25</f>
        <v>75718304.556993157</v>
      </c>
      <c r="L10" s="9">
        <f>Investment!L25</f>
        <v>79524411.614988133</v>
      </c>
      <c r="M10" s="9">
        <f>Investment!M25</f>
        <v>83496573.980828419</v>
      </c>
      <c r="N10" s="9">
        <f>Investment!N25</f>
        <v>87641521.740588754</v>
      </c>
      <c r="O10" s="9">
        <f>Investment!O25</f>
        <v>91966245.66521737</v>
      </c>
      <c r="P10" s="9">
        <f>Investment!P25</f>
        <v>96478007.002759874</v>
      </c>
      <c r="Q10" s="9">
        <f>Investment!Q25</f>
        <v>101184347.63034388</v>
      </c>
      <c r="R10" s="9">
        <f>Investment!R25</f>
        <v>106093100.5789225</v>
      </c>
      <c r="S10" s="9">
        <f>Investment!S25</f>
        <v>111212400.94423664</v>
      </c>
      <c r="T10" s="9">
        <f>Investment!T25</f>
        <v>116550697.19793805</v>
      </c>
      <c r="U10" s="9">
        <f>Investment!U25</f>
        <v>122116762.91330947</v>
      </c>
      <c r="V10" s="9">
        <f>Investment!V25</f>
        <v>127919708.92053398</v>
      </c>
      <c r="W10" s="9">
        <f>Investment!W25</f>
        <v>133968995.90699764</v>
      </c>
      <c r="X10" s="9">
        <f>Investment!X25</f>
        <v>140274447.47866032</v>
      </c>
      <c r="Y10" s="9">
        <f>Investment!Y25</f>
        <v>146846263.69910061</v>
      </c>
      <c r="Z10" s="9">
        <f>Investment!Z25</f>
        <v>153695035.123431</v>
      </c>
      <c r="AA10" s="9">
        <f>Investment!AA25</f>
        <v>160831757.34489068</v>
      </c>
      <c r="AB10" s="9">
        <f>Investment!AB25</f>
        <v>168267846.07255727</v>
      </c>
      <c r="AC10" s="9">
        <f>Investment!AC25</f>
        <v>176015152.75927341</v>
      </c>
      <c r="AD10" s="9">
        <f>Investment!AD25</f>
        <v>184085980.79956114</v>
      </c>
      <c r="AE10" s="9">
        <f>Investment!AE25</f>
        <v>192493102.31800175</v>
      </c>
      <c r="AF10" s="9">
        <f>Investment!AF25</f>
        <v>201249775.56928375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-42587599.594449535</v>
      </c>
      <c r="D12" s="1">
        <f t="shared" ref="D12:AF12" ca="1" si="2">D7-D9-D10</f>
        <v>-39036028.502169594</v>
      </c>
      <c r="E12" s="1">
        <f ca="1">E7-E9-E10</f>
        <v>-30295776.128659002</v>
      </c>
      <c r="F12" s="1">
        <f t="shared" ca="1" si="2"/>
        <v>-23462386.062373452</v>
      </c>
      <c r="G12" s="1">
        <f ca="1">G7-G9-G10</f>
        <v>-19882262.348787077</v>
      </c>
      <c r="H12" s="1">
        <f t="shared" ca="1" si="2"/>
        <v>-17345768.456827581</v>
      </c>
      <c r="I12" s="1">
        <f t="shared" ca="1" si="2"/>
        <v>-16022879.02732113</v>
      </c>
      <c r="J12" s="1">
        <f t="shared" ca="1" si="2"/>
        <v>-14938055.063040167</v>
      </c>
      <c r="K12" s="1">
        <f t="shared" ca="1" si="2"/>
        <v>-15154083.092282511</v>
      </c>
      <c r="L12" s="1">
        <f t="shared" ca="1" si="2"/>
        <v>-15179007.840529077</v>
      </c>
      <c r="M12" s="1">
        <f t="shared" ca="1" si="2"/>
        <v>-14982849.87543048</v>
      </c>
      <c r="N12" s="1">
        <f t="shared" ca="1" si="2"/>
        <v>-14532529.856544092</v>
      </c>
      <c r="O12" s="1">
        <f t="shared" ca="1" si="2"/>
        <v>-14966908.558874875</v>
      </c>
      <c r="P12" s="1">
        <f t="shared" ca="1" si="2"/>
        <v>-15270975.3102815</v>
      </c>
      <c r="Q12" s="1">
        <f t="shared" ca="1" si="2"/>
        <v>-15423824.459526211</v>
      </c>
      <c r="R12" s="1">
        <f t="shared" ca="1" si="2"/>
        <v>-15402501.356262535</v>
      </c>
      <c r="S12" s="1">
        <f t="shared" ca="1" si="2"/>
        <v>-16676977.915633231</v>
      </c>
      <c r="T12" s="1">
        <f t="shared" ca="1" si="2"/>
        <v>-17948968.068132788</v>
      </c>
      <c r="U12" s="1">
        <f t="shared" ca="1" si="2"/>
        <v>-19211037.916144952</v>
      </c>
      <c r="V12" s="1">
        <f t="shared" ca="1" si="2"/>
        <v>-20454903.751732051</v>
      </c>
      <c r="W12" s="1">
        <f t="shared" ca="1" si="2"/>
        <v>-21671363.654685944</v>
      </c>
      <c r="X12" s="1">
        <f t="shared" ca="1" si="2"/>
        <v>-22850224.389839172</v>
      </c>
      <c r="Y12" s="1">
        <f t="shared" ca="1" si="2"/>
        <v>-23980223.308378547</v>
      </c>
      <c r="Z12" s="1">
        <f t="shared" ca="1" si="2"/>
        <v>-25048944.940386757</v>
      </c>
      <c r="AA12" s="1">
        <f t="shared" ca="1" si="2"/>
        <v>-27834417.482209161</v>
      </c>
      <c r="AB12" s="1">
        <f t="shared" ca="1" si="2"/>
        <v>-30765952.718643665</v>
      </c>
      <c r="AC12" s="1">
        <f t="shared" ca="1" si="2"/>
        <v>-33847948.726046592</v>
      </c>
      <c r="AD12" s="1">
        <f t="shared" ca="1" si="2"/>
        <v>-37084797.264506638</v>
      </c>
      <c r="AE12" s="1">
        <f t="shared" ca="1" si="2"/>
        <v>-40480871.455723614</v>
      </c>
      <c r="AF12" s="1">
        <f t="shared" ca="1" si="2"/>
        <v>-44040512.309540421</v>
      </c>
      <c r="AG12" s="1"/>
      <c r="AH12" s="1"/>
      <c r="AI12" s="1"/>
      <c r="AJ12" s="1"/>
      <c r="AK12" s="1"/>
      <c r="AL12" s="1"/>
      <c r="AM12" s="1"/>
      <c r="AN12" s="1"/>
      <c r="AO12" s="1"/>
      <c r="AP12" s="1"/>
    </row>
    <row r="13" spans="1:42" x14ac:dyDescent="0.35">
      <c r="A13" t="s">
        <v>19</v>
      </c>
      <c r="C13" s="1">
        <f ca="1">C12</f>
        <v>-42587599.594449535</v>
      </c>
      <c r="D13" s="1">
        <f ca="1">D12</f>
        <v>-39036028.502169594</v>
      </c>
      <c r="E13" s="1">
        <f ca="1">E12</f>
        <v>-30295776.128659002</v>
      </c>
      <c r="F13" s="1">
        <f t="shared" ref="F13:AF13" ca="1" si="3">F12</f>
        <v>-23462386.062373452</v>
      </c>
      <c r="G13" s="1">
        <f ca="1">G12</f>
        <v>-19882262.348787077</v>
      </c>
      <c r="H13" s="1">
        <f t="shared" ca="1" si="3"/>
        <v>-17345768.456827581</v>
      </c>
      <c r="I13" s="1">
        <f t="shared" ca="1" si="3"/>
        <v>-16022879.02732113</v>
      </c>
      <c r="J13" s="1">
        <f t="shared" ca="1" si="3"/>
        <v>-14938055.063040167</v>
      </c>
      <c r="K13" s="1">
        <f t="shared" ca="1" si="3"/>
        <v>-15154083.092282511</v>
      </c>
      <c r="L13" s="1">
        <f t="shared" ca="1" si="3"/>
        <v>-15179007.840529077</v>
      </c>
      <c r="M13" s="1">
        <f t="shared" ca="1" si="3"/>
        <v>-14982849.87543048</v>
      </c>
      <c r="N13" s="1">
        <f t="shared" ca="1" si="3"/>
        <v>-14532529.856544092</v>
      </c>
      <c r="O13" s="1">
        <f t="shared" ca="1" si="3"/>
        <v>-14966908.558874875</v>
      </c>
      <c r="P13" s="1">
        <f t="shared" ca="1" si="3"/>
        <v>-15270975.3102815</v>
      </c>
      <c r="Q13" s="1">
        <f t="shared" ca="1" si="3"/>
        <v>-15423824.459526211</v>
      </c>
      <c r="R13" s="1">
        <f t="shared" ca="1" si="3"/>
        <v>-15402501.356262535</v>
      </c>
      <c r="S13" s="1">
        <f t="shared" ca="1" si="3"/>
        <v>-16676977.915633231</v>
      </c>
      <c r="T13" s="1">
        <f t="shared" ca="1" si="3"/>
        <v>-17948968.068132788</v>
      </c>
      <c r="U13" s="1">
        <f t="shared" ca="1" si="3"/>
        <v>-19211037.916144952</v>
      </c>
      <c r="V13" s="1">
        <f t="shared" ca="1" si="3"/>
        <v>-20454903.751732051</v>
      </c>
      <c r="W13" s="1">
        <f t="shared" ca="1" si="3"/>
        <v>-21671363.654685944</v>
      </c>
      <c r="X13" s="1">
        <f t="shared" ca="1" si="3"/>
        <v>-22850224.389839172</v>
      </c>
      <c r="Y13" s="1">
        <f t="shared" ca="1" si="3"/>
        <v>-23980223.308378547</v>
      </c>
      <c r="Z13" s="1">
        <f t="shared" ca="1" si="3"/>
        <v>-25048944.940386757</v>
      </c>
      <c r="AA13" s="1">
        <f t="shared" ca="1" si="3"/>
        <v>-27834417.482209161</v>
      </c>
      <c r="AB13" s="1">
        <f t="shared" ca="1" si="3"/>
        <v>-30765952.718643665</v>
      </c>
      <c r="AC13" s="1">
        <f t="shared" ca="1" si="3"/>
        <v>-33847948.726046592</v>
      </c>
      <c r="AD13" s="1">
        <f t="shared" ca="1" si="3"/>
        <v>-37084797.264506638</v>
      </c>
      <c r="AE13" s="1">
        <f t="shared" ca="1" si="3"/>
        <v>-40480871.455723614</v>
      </c>
      <c r="AF13" s="1">
        <f t="shared" ca="1" si="3"/>
        <v>-44040512.309540421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382250000.00000006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191125000.00000003</v>
      </c>
      <c r="D7" s="9">
        <f>C12</f>
        <v>198239474.96185431</v>
      </c>
      <c r="E7" s="9">
        <f>D12</f>
        <v>206656648.34808794</v>
      </c>
      <c r="F7" s="9">
        <f t="shared" ref="F7:H7" si="1">E12</f>
        <v>216452607.63550022</v>
      </c>
      <c r="G7" s="9">
        <f t="shared" si="1"/>
        <v>227706975.9362191</v>
      </c>
      <c r="H7" s="9">
        <f t="shared" si="1"/>
        <v>240503060.36478591</v>
      </c>
      <c r="I7" s="9">
        <f t="shared" ref="I7" si="2">H12</f>
        <v>254928006.28024298</v>
      </c>
      <c r="J7" s="9">
        <f t="shared" ref="J7" si="3">I12</f>
        <v>271072957.62729639</v>
      </c>
      <c r="K7" s="9">
        <f t="shared" ref="K7" si="4">J12</f>
        <v>289033223.60895091</v>
      </c>
      <c r="L7" s="9">
        <f t="shared" ref="L7" si="5">K12</f>
        <v>308908451.93164164</v>
      </c>
      <c r="M7" s="9">
        <f t="shared" ref="M7" si="6">L12</f>
        <v>330802808.87282974</v>
      </c>
      <c r="N7" s="9">
        <f t="shared" ref="N7" si="7">M12</f>
        <v>354825166.43029648</v>
      </c>
      <c r="O7" s="9">
        <f t="shared" ref="O7" si="8">N12</f>
        <v>381089296.82197595</v>
      </c>
      <c r="P7" s="9">
        <f t="shared" ref="P7" si="9">O12</f>
        <v>409714074.61511898</v>
      </c>
      <c r="Q7" s="9">
        <f t="shared" ref="Q7" si="10">P12</f>
        <v>440823686.77389812</v>
      </c>
      <c r="R7" s="9">
        <f t="shared" ref="R7" si="11">Q12</f>
        <v>474547850.92525393</v>
      </c>
      <c r="S7" s="9">
        <f t="shared" ref="S7" si="12">R12</f>
        <v>511022042.15386069</v>
      </c>
      <c r="T7" s="9">
        <f t="shared" ref="T7" si="13">S12</f>
        <v>550387728.64857149</v>
      </c>
      <c r="U7" s="9">
        <f t="shared" ref="U7" si="14">T12</f>
        <v>592792616.53459895</v>
      </c>
      <c r="V7" s="9">
        <f t="shared" ref="V7" si="15">U12</f>
        <v>638390904.23801661</v>
      </c>
      <c r="W7" s="9">
        <f t="shared" ref="W7" si="16">V12</f>
        <v>687343546.74194229</v>
      </c>
      <c r="X7" s="9">
        <f t="shared" ref="X7" si="17">W12</f>
        <v>739818530.10700011</v>
      </c>
      <c r="Y7" s="9">
        <f t="shared" ref="Y7" si="18">X12</f>
        <v>795991156.64237857</v>
      </c>
      <c r="Z7" s="9">
        <f t="shared" ref="Z7" si="19">Y12</f>
        <v>856044341.12801242</v>
      </c>
      <c r="AA7" s="9">
        <f t="shared" ref="AA7" si="20">Z12</f>
        <v>920168918.50314558</v>
      </c>
      <c r="AB7" s="9">
        <f t="shared" ref="AB7" si="21">AA12</f>
        <v>988563963.45179296</v>
      </c>
      <c r="AC7" s="9">
        <f t="shared" ref="AC7" si="22">AB12</f>
        <v>1061437122.3314271</v>
      </c>
      <c r="AD7" s="9">
        <f t="shared" ref="AD7" si="23">AC12</f>
        <v>1139004957.907604</v>
      </c>
      <c r="AE7" s="9">
        <f t="shared" ref="AE7" si="24">AD12</f>
        <v>1221493307.3742094</v>
      </c>
      <c r="AF7" s="9">
        <f t="shared" ref="AF7" si="25">AE12</f>
        <v>1309137654.156601</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6072774.1618542718</v>
      </c>
      <c r="D8" s="9">
        <f>Assumptions!E111*Assumptions!E11</f>
        <v>6267102.9350336082</v>
      </c>
      <c r="E8" s="9">
        <f>Assumptions!F111*Assumptions!F11</f>
        <v>6467650.228954684</v>
      </c>
      <c r="F8" s="9">
        <f>Assumptions!G111*Assumptions!G11</f>
        <v>6674615.0362812337</v>
      </c>
      <c r="G8" s="9">
        <f>Assumptions!H111*Assumptions!H11</f>
        <v>6888202.717442234</v>
      </c>
      <c r="H8" s="9">
        <f>Assumptions!I111*Assumptions!I11</f>
        <v>7108625.2044003839</v>
      </c>
      <c r="I8" s="9">
        <f>Assumptions!J111*Assumptions!J11</f>
        <v>7336101.2109411955</v>
      </c>
      <c r="J8" s="9">
        <f>Assumptions!K111*Assumptions!K11</f>
        <v>7570856.4496913152</v>
      </c>
      <c r="K8" s="9">
        <f>Assumptions!L111*Assumptions!L11</f>
        <v>7813123.8560814373</v>
      </c>
      <c r="L8" s="9">
        <f>Assumptions!M111*Assumptions!M11</f>
        <v>8063143.8194760429</v>
      </c>
      <c r="M8" s="9">
        <f>Assumptions!N111*Assumptions!N11</f>
        <v>8321164.4216992762</v>
      </c>
      <c r="N8" s="9">
        <f>Assumptions!O111*Assumptions!O11</f>
        <v>8587441.6831936538</v>
      </c>
      <c r="O8" s="9">
        <f>Assumptions!P111*Assumptions!P11</f>
        <v>8862239.8170558512</v>
      </c>
      <c r="P8" s="9">
        <f>Assumptions!Q111*Assumptions!Q11</f>
        <v>9145831.4912016373</v>
      </c>
      <c r="Q8" s="9">
        <f>Assumptions!R111*Assumptions!R11</f>
        <v>9438498.0989200864</v>
      </c>
      <c r="R8" s="9">
        <f>Assumptions!S111*Assumptions!S11</f>
        <v>9740530.0380855314</v>
      </c>
      <c r="S8" s="9">
        <f>Assumptions!T111*Assumptions!T11</f>
        <v>10052226.99930427</v>
      </c>
      <c r="T8" s="9">
        <f>Assumptions!U111*Assumptions!U11</f>
        <v>10373898.263282005</v>
      </c>
      <c r="U8" s="9">
        <f>Assumptions!V111*Assumptions!V11</f>
        <v>10705863.007707028</v>
      </c>
      <c r="V8" s="9">
        <f>Assumptions!W111*Assumptions!W11</f>
        <v>11048450.623953655</v>
      </c>
      <c r="W8" s="9">
        <f>Assumptions!X111*Assumptions!X11</f>
        <v>11402001.043920172</v>
      </c>
      <c r="X8" s="9">
        <f>Assumptions!Y111*Assumptions!Y11</f>
        <v>11766865.077325616</v>
      </c>
      <c r="Y8" s="9">
        <f>Assumptions!Z111*Assumptions!Z11</f>
        <v>12143404.759800036</v>
      </c>
      <c r="Z8" s="9">
        <f>Assumptions!AA111*Assumptions!AA11</f>
        <v>12531993.712113636</v>
      </c>
      <c r="AA8" s="9">
        <f>Assumptions!AB111*Assumptions!AB11</f>
        <v>12933017.510901276</v>
      </c>
      <c r="AB8" s="9">
        <f>Assumptions!AC111*Assumptions!AC11</f>
        <v>13346874.071250115</v>
      </c>
      <c r="AC8" s="9">
        <f>Assumptions!AD111*Assumptions!AD11</f>
        <v>13773974.041530117</v>
      </c>
      <c r="AD8" s="9">
        <f>Assumptions!AE111*Assumptions!AE11</f>
        <v>14214741.210859083</v>
      </c>
      <c r="AE8" s="9">
        <f>Assumptions!AF111*Assumptions!AF11</f>
        <v>14669612.929606574</v>
      </c>
      <c r="AF8" s="9">
        <f>Assumptions!AG111*Assumptions!AG11</f>
        <v>15139040.54335398</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1041700.8</v>
      </c>
      <c r="D9" s="9">
        <f>Assumptions!E120*Assumptions!E11</f>
        <v>2150070.4512</v>
      </c>
      <c r="E9" s="9">
        <f>Assumptions!F120*Assumptions!F11</f>
        <v>3328309.0584575995</v>
      </c>
      <c r="F9" s="9">
        <f>Assumptions!G120*Assumptions!G11</f>
        <v>4579753.2644376568</v>
      </c>
      <c r="G9" s="9">
        <f>Assumptions!H120*Assumptions!H11</f>
        <v>5907881.7111245785</v>
      </c>
      <c r="H9" s="9">
        <f>Assumptions!I120*Assumptions!I11</f>
        <v>7316320.7110566767</v>
      </c>
      <c r="I9" s="9">
        <f>Assumptions!J120*Assumptions!J11</f>
        <v>8808850.1361122411</v>
      </c>
      <c r="J9" s="9">
        <f>Assumptions!K120*Assumptions!K11</f>
        <v>10389409.531963235</v>
      </c>
      <c r="K9" s="9">
        <f>Assumptions!L120*Assumptions!L11</f>
        <v>12062104.466609318</v>
      </c>
      <c r="L9" s="9">
        <f>Assumptions!M120*Assumptions!M11</f>
        <v>13831213.121712016</v>
      </c>
      <c r="M9" s="9">
        <f>Assumptions!N120*Assumptions!N11</f>
        <v>15701193.135767477</v>
      </c>
      <c r="N9" s="9">
        <f>Assumptions!O120*Assumptions!O11</f>
        <v>17676688.70848586</v>
      </c>
      <c r="O9" s="9">
        <f>Assumptions!P120*Assumptions!P11</f>
        <v>19762537.97608719</v>
      </c>
      <c r="P9" s="9">
        <f>Assumptions!Q120*Assumptions!Q11</f>
        <v>21963780.667577516</v>
      </c>
      <c r="Q9" s="9">
        <f>Assumptions!R120*Assumptions!R11</f>
        <v>24285666.052435707</v>
      </c>
      <c r="R9" s="9">
        <f>Assumptions!S120*Assumptions!S11</f>
        <v>26733661.190521237</v>
      </c>
      <c r="S9" s="9">
        <f>Assumptions!T120*Assumptions!T11</f>
        <v>29313459.495406542</v>
      </c>
      <c r="T9" s="9">
        <f>Assumptions!U120*Assumptions!U11</f>
        <v>32030989.622745402</v>
      </c>
      <c r="U9" s="9">
        <f>Assumptions!V120*Assumptions!V11</f>
        <v>34892424.695710659</v>
      </c>
      <c r="V9" s="9">
        <f>Assumptions!W120*Assumptions!W11</f>
        <v>37904191.879972003</v>
      </c>
      <c r="W9" s="9">
        <f>Assumptions!X120*Assumptions!X11</f>
        <v>41072982.321137667</v>
      </c>
      <c r="X9" s="9">
        <f>Assumptions!Y120*Assumptions!Y11</f>
        <v>44405761.458052836</v>
      </c>
      <c r="Y9" s="9">
        <f>Assumptions!Z120*Assumptions!Z11</f>
        <v>47909779.725833714</v>
      </c>
      <c r="Z9" s="9">
        <f>Assumptions!AA120*Assumptions!AA11</f>
        <v>51592583.663019553</v>
      </c>
      <c r="AA9" s="9">
        <f>Assumptions!AB120*Assumptions!AB11</f>
        <v>55462027.437746041</v>
      </c>
      <c r="AB9" s="9">
        <f>Assumptions!AC120*Assumptions!AC11</f>
        <v>59526284.808384039</v>
      </c>
      <c r="AC9" s="9">
        <f>Assumptions!AD120*Assumptions!AD11</f>
        <v>63793861.534646645</v>
      </c>
      <c r="AD9" s="9">
        <f>Assumptions!AE120*Assumptions!AE11</f>
        <v>68273608.25574629</v>
      </c>
      <c r="AE9" s="9">
        <f>Assumptions!AF120*Assumptions!AF11</f>
        <v>72974733.852784812</v>
      </c>
      <c r="AF9" s="9">
        <f>Assumptions!AG120*Assumptions!AG11</f>
        <v>77906819.31317991</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7114474.9618542716</v>
      </c>
      <c r="D10" s="9">
        <f>SUM($C$8:D9)</f>
        <v>15531648.348087881</v>
      </c>
      <c r="E10" s="9">
        <f>SUM($C$8:E9)</f>
        <v>25327607.635500163</v>
      </c>
      <c r="F10" s="9">
        <f>SUM($C$8:F9)</f>
        <v>36581975.936219051</v>
      </c>
      <c r="G10" s="9">
        <f>SUM($C$8:G9)</f>
        <v>49378060.364785857</v>
      </c>
      <c r="H10" s="9">
        <f>SUM($C$8:H9)</f>
        <v>63803006.280242927</v>
      </c>
      <c r="I10" s="9">
        <f>SUM($C$8:I9)</f>
        <v>79947957.627296358</v>
      </c>
      <c r="J10" s="9">
        <f>SUM($C$8:J9)</f>
        <v>97908223.608950913</v>
      </c>
      <c r="K10" s="9">
        <f>SUM($C$8:K9)</f>
        <v>117783451.93164168</v>
      </c>
      <c r="L10" s="9">
        <f>SUM($C$8:L9)</f>
        <v>139677808.87282974</v>
      </c>
      <c r="M10" s="9">
        <f>SUM($C$8:M9)</f>
        <v>163700166.43029648</v>
      </c>
      <c r="N10" s="9">
        <f>SUM($C$8:N9)</f>
        <v>189964296.82197604</v>
      </c>
      <c r="O10" s="9">
        <f>SUM($C$8:O9)</f>
        <v>218589074.61511907</v>
      </c>
      <c r="P10" s="9">
        <f>SUM($C$8:P9)</f>
        <v>249698686.77389821</v>
      </c>
      <c r="Q10" s="9">
        <f>SUM($C$8:Q9)</f>
        <v>283422850.92525399</v>
      </c>
      <c r="R10" s="9">
        <f>SUM($C$8:R9)</f>
        <v>319897042.15386075</v>
      </c>
      <c r="S10" s="9">
        <f>SUM($C$8:S9)</f>
        <v>359262728.64857167</v>
      </c>
      <c r="T10" s="9">
        <f>SUM($C$8:T9)</f>
        <v>401667616.53459907</v>
      </c>
      <c r="U10" s="9">
        <f>SUM($C$8:U9)</f>
        <v>447265904.23801672</v>
      </c>
      <c r="V10" s="9">
        <f>SUM($C$8:V9)</f>
        <v>496218546.74194235</v>
      </c>
      <c r="W10" s="9">
        <f>SUM($C$8:W9)</f>
        <v>548693530.10700011</v>
      </c>
      <c r="X10" s="9">
        <f>SUM($C$8:X9)</f>
        <v>604866156.64237857</v>
      </c>
      <c r="Y10" s="9">
        <f>SUM($C$8:Y9)</f>
        <v>664919341.12801242</v>
      </c>
      <c r="Z10" s="9">
        <f>SUM($C$8:Z9)</f>
        <v>729043918.50314558</v>
      </c>
      <c r="AA10" s="9">
        <f>SUM($C$8:AA9)</f>
        <v>797438963.45179284</v>
      </c>
      <c r="AB10" s="9">
        <f>SUM($C$8:AB9)</f>
        <v>870312122.3314271</v>
      </c>
      <c r="AC10" s="9">
        <f>SUM($C$8:AC9)</f>
        <v>947879957.90760362</v>
      </c>
      <c r="AD10" s="9">
        <f>SUM($C$8:AD9)</f>
        <v>1030368307.3742092</v>
      </c>
      <c r="AE10" s="9">
        <f>SUM($C$8:AE9)</f>
        <v>1118012654.1566005</v>
      </c>
      <c r="AF10" s="9">
        <f>SUM($C$8:AF9)</f>
        <v>1211058514.0131345</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198239474.96185431</v>
      </c>
      <c r="D12" s="9">
        <f>D7+D8+D9</f>
        <v>206656648.34808794</v>
      </c>
      <c r="E12" s="9">
        <f>E7+E8+E9</f>
        <v>216452607.63550022</v>
      </c>
      <c r="F12" s="9">
        <f t="shared" ref="F12:H12" si="26">F7+F8+F9</f>
        <v>227706975.9362191</v>
      </c>
      <c r="G12" s="9">
        <f t="shared" si="26"/>
        <v>240503060.36478591</v>
      </c>
      <c r="H12" s="9">
        <f t="shared" si="26"/>
        <v>254928006.28024298</v>
      </c>
      <c r="I12" s="9">
        <f t="shared" ref="I12:AF12" si="27">I7+I8+I9</f>
        <v>271072957.62729639</v>
      </c>
      <c r="J12" s="9">
        <f t="shared" si="27"/>
        <v>289033223.60895091</v>
      </c>
      <c r="K12" s="9">
        <f t="shared" si="27"/>
        <v>308908451.93164164</v>
      </c>
      <c r="L12" s="9">
        <f t="shared" si="27"/>
        <v>330802808.87282974</v>
      </c>
      <c r="M12" s="9">
        <f t="shared" si="27"/>
        <v>354825166.43029648</v>
      </c>
      <c r="N12" s="9">
        <f t="shared" si="27"/>
        <v>381089296.82197595</v>
      </c>
      <c r="O12" s="9">
        <f t="shared" si="27"/>
        <v>409714074.61511898</v>
      </c>
      <c r="P12" s="9">
        <f t="shared" si="27"/>
        <v>440823686.77389812</v>
      </c>
      <c r="Q12" s="9">
        <f t="shared" si="27"/>
        <v>474547850.92525393</v>
      </c>
      <c r="R12" s="9">
        <f t="shared" si="27"/>
        <v>511022042.15386069</v>
      </c>
      <c r="S12" s="9">
        <f t="shared" si="27"/>
        <v>550387728.64857149</v>
      </c>
      <c r="T12" s="9">
        <f t="shared" si="27"/>
        <v>592792616.53459895</v>
      </c>
      <c r="U12" s="9">
        <f t="shared" si="27"/>
        <v>638390904.23801661</v>
      </c>
      <c r="V12" s="9">
        <f t="shared" si="27"/>
        <v>687343546.74194229</v>
      </c>
      <c r="W12" s="9">
        <f t="shared" si="27"/>
        <v>739818530.10700011</v>
      </c>
      <c r="X12" s="9">
        <f t="shared" si="27"/>
        <v>795991156.64237857</v>
      </c>
      <c r="Y12" s="9">
        <f t="shared" si="27"/>
        <v>856044341.12801242</v>
      </c>
      <c r="Z12" s="9">
        <f t="shared" si="27"/>
        <v>920168918.50314558</v>
      </c>
      <c r="AA12" s="9">
        <f t="shared" si="27"/>
        <v>988563963.45179296</v>
      </c>
      <c r="AB12" s="9">
        <f t="shared" si="27"/>
        <v>1061437122.3314271</v>
      </c>
      <c r="AC12" s="9">
        <f t="shared" si="27"/>
        <v>1139004957.907604</v>
      </c>
      <c r="AD12" s="9">
        <f t="shared" si="27"/>
        <v>1221493307.3742094</v>
      </c>
      <c r="AE12" s="9">
        <f t="shared" si="27"/>
        <v>1309137654.156601</v>
      </c>
      <c r="AF12" s="9">
        <f t="shared" si="27"/>
        <v>1402183514.013135</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50518674.961854279</v>
      </c>
      <c r="D18" s="9">
        <f>Investment!D25</f>
        <v>53210307.786233611</v>
      </c>
      <c r="E18" s="9">
        <f>Investment!E25</f>
        <v>56022473.988212287</v>
      </c>
      <c r="F18" s="9">
        <f>Investment!F25</f>
        <v>58960131.471944496</v>
      </c>
      <c r="G18" s="9">
        <f>Investment!G25</f>
        <v>62028432.021271639</v>
      </c>
      <c r="H18" s="9">
        <f>Investment!H25</f>
        <v>65232728.63112843</v>
      </c>
      <c r="I18" s="9">
        <f>Investment!I25</f>
        <v>68578583.109626278</v>
      </c>
      <c r="J18" s="9">
        <f>Investment!J25</f>
        <v>72071773.960629731</v>
      </c>
      <c r="K18" s="9">
        <f>Investment!K25</f>
        <v>75718304.556993157</v>
      </c>
      <c r="L18" s="9">
        <f>Investment!L25</f>
        <v>79524411.614988133</v>
      </c>
      <c r="M18" s="9">
        <f>Investment!M25</f>
        <v>83496573.980828419</v>
      </c>
      <c r="N18" s="9">
        <f>Investment!N25</f>
        <v>87641521.740588754</v>
      </c>
      <c r="O18" s="9">
        <f>Investment!O25</f>
        <v>91966245.66521737</v>
      </c>
      <c r="P18" s="9">
        <f>Investment!P25</f>
        <v>96478007.002759874</v>
      </c>
      <c r="Q18" s="9">
        <f>Investment!Q25</f>
        <v>101184347.63034388</v>
      </c>
      <c r="R18" s="9">
        <f>Investment!R25</f>
        <v>106093100.5789225</v>
      </c>
      <c r="S18" s="9">
        <f>Investment!S25</f>
        <v>111212400.94423664</v>
      </c>
      <c r="T18" s="9">
        <f>Investment!T25</f>
        <v>116550697.19793805</v>
      </c>
      <c r="U18" s="9">
        <f>Investment!U25</f>
        <v>122116762.91330947</v>
      </c>
      <c r="V18" s="9">
        <f>Investment!V25</f>
        <v>127919708.92053398</v>
      </c>
      <c r="W18" s="9">
        <f>Investment!W25</f>
        <v>133968995.90699764</v>
      </c>
      <c r="X18" s="9">
        <f>Investment!X25</f>
        <v>140274447.47866032</v>
      </c>
      <c r="Y18" s="9">
        <f>Investment!Y25</f>
        <v>146846263.69910061</v>
      </c>
      <c r="Z18" s="9">
        <f>Investment!Z25</f>
        <v>153695035.123431</v>
      </c>
      <c r="AA18" s="9">
        <f>Investment!AA25</f>
        <v>160831757.34489068</v>
      </c>
      <c r="AB18" s="9">
        <f>Investment!AB25</f>
        <v>168267846.07255727</v>
      </c>
      <c r="AC18" s="9">
        <f>Investment!AC25</f>
        <v>176015152.75927341</v>
      </c>
      <c r="AD18" s="9">
        <f>Investment!AD25</f>
        <v>184085980.79956114</v>
      </c>
      <c r="AE18" s="9">
        <f>Investment!AE25</f>
        <v>192493102.31800175</v>
      </c>
      <c r="AF18" s="9">
        <f>Investment!AF25</f>
        <v>201249775.56928375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241643674.96185431</v>
      </c>
      <c r="D19" s="9">
        <f>D18+C20</f>
        <v>287739507.78623366</v>
      </c>
      <c r="E19" s="9">
        <f>E18+D20</f>
        <v>335344808.38821232</v>
      </c>
      <c r="F19" s="9">
        <f t="shared" ref="F19:AF19" si="28">F18+E20</f>
        <v>384508980.57274455</v>
      </c>
      <c r="G19" s="9">
        <f t="shared" si="28"/>
        <v>435283044.29329729</v>
      </c>
      <c r="H19" s="9">
        <f t="shared" si="28"/>
        <v>487719688.49585891</v>
      </c>
      <c r="I19" s="9">
        <f t="shared" si="28"/>
        <v>541873325.69002819</v>
      </c>
      <c r="J19" s="9">
        <f t="shared" si="28"/>
        <v>597800148.30360448</v>
      </c>
      <c r="K19" s="9">
        <f t="shared" si="28"/>
        <v>655558186.87894309</v>
      </c>
      <c r="L19" s="9">
        <f t="shared" si="28"/>
        <v>715207370.17124033</v>
      </c>
      <c r="M19" s="9">
        <f t="shared" si="28"/>
        <v>776809587.21088076</v>
      </c>
      <c r="N19" s="9">
        <f t="shared" si="28"/>
        <v>840428751.3940028</v>
      </c>
      <c r="O19" s="9">
        <f t="shared" si="28"/>
        <v>906130866.66754067</v>
      </c>
      <c r="P19" s="9">
        <f t="shared" si="28"/>
        <v>973984095.87715745</v>
      </c>
      <c r="Q19" s="9">
        <f t="shared" si="28"/>
        <v>1044058831.3487222</v>
      </c>
      <c r="R19" s="9">
        <f t="shared" si="28"/>
        <v>1116427767.7762887</v>
      </c>
      <c r="S19" s="9">
        <f t="shared" si="28"/>
        <v>1191165977.4919186</v>
      </c>
      <c r="T19" s="9">
        <f t="shared" si="28"/>
        <v>1268350988.1951456</v>
      </c>
      <c r="U19" s="9">
        <f t="shared" si="28"/>
        <v>1348062863.2224276</v>
      </c>
      <c r="V19" s="9">
        <f t="shared" si="28"/>
        <v>1430384284.4395437</v>
      </c>
      <c r="W19" s="9">
        <f t="shared" si="28"/>
        <v>1515400637.8426158</v>
      </c>
      <c r="X19" s="9">
        <f t="shared" si="28"/>
        <v>1603200101.9562182</v>
      </c>
      <c r="Y19" s="9">
        <f t="shared" si="28"/>
        <v>1693873739.1199403</v>
      </c>
      <c r="Z19" s="9">
        <f t="shared" si="28"/>
        <v>1787515589.7577376</v>
      </c>
      <c r="AA19" s="9">
        <f t="shared" si="28"/>
        <v>1884222769.727495</v>
      </c>
      <c r="AB19" s="9">
        <f t="shared" si="28"/>
        <v>1984095570.8514049</v>
      </c>
      <c r="AC19" s="9">
        <f t="shared" si="28"/>
        <v>2087237564.7310443</v>
      </c>
      <c r="AD19" s="9">
        <f t="shared" si="28"/>
        <v>2193755709.9544287</v>
      </c>
      <c r="AE19" s="9">
        <f t="shared" si="28"/>
        <v>2303760462.8058248</v>
      </c>
      <c r="AF19" s="9">
        <f t="shared" si="28"/>
        <v>2417365891.5927176</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234529200.00000003</v>
      </c>
      <c r="D20" s="9">
        <f>D19-D8-D9</f>
        <v>279322334.40000004</v>
      </c>
      <c r="E20" s="9">
        <f t="shared" ref="E20:AF20" si="29">E19-E8-E9</f>
        <v>325548849.10080004</v>
      </c>
      <c r="F20" s="9">
        <f t="shared" si="29"/>
        <v>373254612.27202564</v>
      </c>
      <c r="G20" s="9">
        <f t="shared" si="29"/>
        <v>422486959.86473048</v>
      </c>
      <c r="H20" s="9">
        <f t="shared" si="29"/>
        <v>473294742.5804019</v>
      </c>
      <c r="I20" s="9">
        <f t="shared" si="29"/>
        <v>525728374.34297478</v>
      </c>
      <c r="J20" s="9">
        <f t="shared" si="29"/>
        <v>579839882.32194996</v>
      </c>
      <c r="K20" s="9">
        <f t="shared" si="29"/>
        <v>635682958.55625224</v>
      </c>
      <c r="L20" s="9">
        <f t="shared" si="29"/>
        <v>693313013.23005235</v>
      </c>
      <c r="M20" s="9">
        <f t="shared" si="29"/>
        <v>752787229.65341401</v>
      </c>
      <c r="N20" s="9">
        <f t="shared" si="29"/>
        <v>814164621.00232327</v>
      </c>
      <c r="O20" s="9">
        <f t="shared" si="29"/>
        <v>877506088.87439764</v>
      </c>
      <c r="P20" s="9">
        <f t="shared" si="29"/>
        <v>942874483.71837831</v>
      </c>
      <c r="Q20" s="9">
        <f t="shared" si="29"/>
        <v>1010334667.1973664</v>
      </c>
      <c r="R20" s="9">
        <f t="shared" si="29"/>
        <v>1079953576.547682</v>
      </c>
      <c r="S20" s="9">
        <f t="shared" si="29"/>
        <v>1151800290.9972076</v>
      </c>
      <c r="T20" s="9">
        <f t="shared" si="29"/>
        <v>1225946100.309118</v>
      </c>
      <c r="U20" s="9">
        <f t="shared" si="29"/>
        <v>1302464575.5190098</v>
      </c>
      <c r="V20" s="9">
        <f t="shared" si="29"/>
        <v>1381431641.9356182</v>
      </c>
      <c r="W20" s="9">
        <f t="shared" si="29"/>
        <v>1462925654.4775579</v>
      </c>
      <c r="X20" s="9">
        <f t="shared" si="29"/>
        <v>1547027475.4208398</v>
      </c>
      <c r="Y20" s="9">
        <f t="shared" si="29"/>
        <v>1633820554.6343067</v>
      </c>
      <c r="Z20" s="9">
        <f t="shared" si="29"/>
        <v>1723391012.3826044</v>
      </c>
      <c r="AA20" s="9">
        <f t="shared" si="29"/>
        <v>1815827724.7788477</v>
      </c>
      <c r="AB20" s="9">
        <f t="shared" si="29"/>
        <v>1911222411.9717708</v>
      </c>
      <c r="AC20" s="9">
        <f t="shared" si="29"/>
        <v>2009669729.1548674</v>
      </c>
      <c r="AD20" s="9">
        <f t="shared" si="29"/>
        <v>2111267360.487823</v>
      </c>
      <c r="AE20" s="9">
        <f t="shared" si="29"/>
        <v>2216116116.0234337</v>
      </c>
      <c r="AF20" s="9">
        <f t="shared" si="29"/>
        <v>2324320031.7361836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18944000</v>
      </c>
      <c r="D22" s="9">
        <f ca="1">'Balance Sheet'!C11</f>
        <v>61531599.594449535</v>
      </c>
      <c r="E22" s="9">
        <f ca="1">'Balance Sheet'!D11</f>
        <v>100567628.09661913</v>
      </c>
      <c r="F22" s="9">
        <f ca="1">'Balance Sheet'!E11</f>
        <v>130863404.22527814</v>
      </c>
      <c r="G22" s="9">
        <f ca="1">'Balance Sheet'!F11</f>
        <v>154325790.2876516</v>
      </c>
      <c r="H22" s="9">
        <f ca="1">'Balance Sheet'!G11</f>
        <v>174208052.63643867</v>
      </c>
      <c r="I22" s="9">
        <f ca="1">'Balance Sheet'!H11</f>
        <v>191553821.09326625</v>
      </c>
      <c r="J22" s="9">
        <f ca="1">'Balance Sheet'!I11</f>
        <v>207576700.12058738</v>
      </c>
      <c r="K22" s="9">
        <f ca="1">'Balance Sheet'!J11</f>
        <v>222514755.18362755</v>
      </c>
      <c r="L22" s="9">
        <f ca="1">'Balance Sheet'!K11</f>
        <v>237668838.27591005</v>
      </c>
      <c r="M22" s="9">
        <f ca="1">'Balance Sheet'!L11</f>
        <v>252847846.11643913</v>
      </c>
      <c r="N22" s="9">
        <f ca="1">'Balance Sheet'!M11</f>
        <v>267830695.99186963</v>
      </c>
      <c r="O22" s="9">
        <f ca="1">'Balance Sheet'!N11</f>
        <v>282363225.84841371</v>
      </c>
      <c r="P22" s="9">
        <f ca="1">'Balance Sheet'!O11</f>
        <v>297330134.40728855</v>
      </c>
      <c r="Q22" s="9">
        <f ca="1">'Balance Sheet'!P11</f>
        <v>312601109.71757007</v>
      </c>
      <c r="R22" s="9">
        <f ca="1">'Balance Sheet'!Q11</f>
        <v>328024934.17709625</v>
      </c>
      <c r="S22" s="9">
        <f ca="1">'Balance Sheet'!R11</f>
        <v>343427435.53335881</v>
      </c>
      <c r="T22" s="9">
        <f ca="1">'Balance Sheet'!S11</f>
        <v>360104413.44899201</v>
      </c>
      <c r="U22" s="9">
        <f ca="1">'Balance Sheet'!T11</f>
        <v>378053381.51712477</v>
      </c>
      <c r="V22" s="9">
        <f ca="1">'Balance Sheet'!U11</f>
        <v>397264419.43326974</v>
      </c>
      <c r="W22" s="9">
        <f ca="1">'Balance Sheet'!V11</f>
        <v>417719323.18500179</v>
      </c>
      <c r="X22" s="9">
        <f ca="1">'Balance Sheet'!W11</f>
        <v>439390686.83968771</v>
      </c>
      <c r="Y22" s="9">
        <f ca="1">'Balance Sheet'!X11</f>
        <v>462240911.22952688</v>
      </c>
      <c r="Z22" s="9">
        <f ca="1">'Balance Sheet'!Y11</f>
        <v>486221134.53790545</v>
      </c>
      <c r="AA22" s="9">
        <f ca="1">'Balance Sheet'!Z11</f>
        <v>511270079.47829223</v>
      </c>
      <c r="AB22" s="9">
        <f ca="1">'Balance Sheet'!AA11</f>
        <v>539104496.96050143</v>
      </c>
      <c r="AC22" s="9">
        <f ca="1">'Balance Sheet'!AB11</f>
        <v>569870449.6791451</v>
      </c>
      <c r="AD22" s="9">
        <f ca="1">'Balance Sheet'!AC11</f>
        <v>603718398.40519166</v>
      </c>
      <c r="AE22" s="9">
        <f ca="1">'Balance Sheet'!AD11</f>
        <v>640803195.66969824</v>
      </c>
      <c r="AF22" s="9">
        <f ca="1">'Balance Sheet'!AE11</f>
        <v>681284067.12542188</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215585200.00000003</v>
      </c>
      <c r="D23" s="9">
        <f t="shared" ref="D23:AF23" ca="1" si="30">D20-D22</f>
        <v>217790734.80555052</v>
      </c>
      <c r="E23" s="9">
        <f t="shared" ca="1" si="30"/>
        <v>224981221.00418091</v>
      </c>
      <c r="F23" s="9">
        <f t="shared" ca="1" si="30"/>
        <v>242391208.04674751</v>
      </c>
      <c r="G23" s="9">
        <f t="shared" ca="1" si="30"/>
        <v>268161169.57707888</v>
      </c>
      <c r="H23" s="9">
        <f t="shared" ca="1" si="30"/>
        <v>299086689.94396323</v>
      </c>
      <c r="I23" s="9">
        <f t="shared" ca="1" si="30"/>
        <v>334174553.24970853</v>
      </c>
      <c r="J23" s="9">
        <f ca="1">J20-J22</f>
        <v>372263182.20136261</v>
      </c>
      <c r="K23" s="9">
        <f t="shared" ca="1" si="30"/>
        <v>413168203.3726247</v>
      </c>
      <c r="L23" s="9">
        <f t="shared" ca="1" si="30"/>
        <v>455644174.95414233</v>
      </c>
      <c r="M23" s="9">
        <f t="shared" ca="1" si="30"/>
        <v>499939383.53697491</v>
      </c>
      <c r="N23" s="9">
        <f t="shared" ca="1" si="30"/>
        <v>546333925.0104537</v>
      </c>
      <c r="O23" s="9">
        <f t="shared" ca="1" si="30"/>
        <v>595142863.02598393</v>
      </c>
      <c r="P23" s="9">
        <f t="shared" ca="1" si="30"/>
        <v>645544349.31108975</v>
      </c>
      <c r="Q23" s="9">
        <f t="shared" ca="1" si="30"/>
        <v>697733557.47979629</v>
      </c>
      <c r="R23" s="9">
        <f t="shared" ca="1" si="30"/>
        <v>751928642.3705858</v>
      </c>
      <c r="S23" s="9">
        <f t="shared" ca="1" si="30"/>
        <v>808372855.46384883</v>
      </c>
      <c r="T23" s="9">
        <f t="shared" ca="1" si="30"/>
        <v>865841686.86012602</v>
      </c>
      <c r="U23" s="9">
        <f t="shared" ca="1" si="30"/>
        <v>924411194.00188506</v>
      </c>
      <c r="V23" s="9">
        <f t="shared" ca="1" si="30"/>
        <v>984167222.50234842</v>
      </c>
      <c r="W23" s="9">
        <f t="shared" ca="1" si="30"/>
        <v>1045206331.292556</v>
      </c>
      <c r="X23" s="9">
        <f t="shared" ca="1" si="30"/>
        <v>1107636788.581152</v>
      </c>
      <c r="Y23" s="9">
        <f t="shared" ca="1" si="30"/>
        <v>1171579643.4047799</v>
      </c>
      <c r="Z23" s="9">
        <f t="shared" ca="1" si="30"/>
        <v>1237169877.8446989</v>
      </c>
      <c r="AA23" s="9">
        <f t="shared" ca="1" si="30"/>
        <v>1304557645.3005555</v>
      </c>
      <c r="AB23" s="9">
        <f t="shared" ca="1" si="30"/>
        <v>1372117915.0112693</v>
      </c>
      <c r="AC23" s="9">
        <f t="shared" ca="1" si="30"/>
        <v>1439799279.4757223</v>
      </c>
      <c r="AD23" s="9">
        <f t="shared" ca="1" si="30"/>
        <v>1507548962.0826313</v>
      </c>
      <c r="AE23" s="9">
        <f t="shared" ca="1" si="30"/>
        <v>1575312920.3537354</v>
      </c>
      <c r="AF23" s="9">
        <f t="shared" ca="1" si="30"/>
        <v>1643035964.6107616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18944000</v>
      </c>
      <c r="D5" s="1">
        <f ca="1">C5+C6</f>
        <v>61531599.594449535</v>
      </c>
      <c r="E5" s="1">
        <f t="shared" ref="E5:AF5" ca="1" si="1">D5+D6</f>
        <v>100567628.09661913</v>
      </c>
      <c r="F5" s="1">
        <f t="shared" ca="1" si="1"/>
        <v>130863404.22527814</v>
      </c>
      <c r="G5" s="1">
        <f t="shared" ca="1" si="1"/>
        <v>154325790.2876516</v>
      </c>
      <c r="H5" s="1">
        <f t="shared" ca="1" si="1"/>
        <v>174208052.63643867</v>
      </c>
      <c r="I5" s="1">
        <f t="shared" ca="1" si="1"/>
        <v>191553821.09326625</v>
      </c>
      <c r="J5" s="1">
        <f t="shared" ca="1" si="1"/>
        <v>207576700.12058738</v>
      </c>
      <c r="K5" s="1">
        <f t="shared" ca="1" si="1"/>
        <v>222514755.18362755</v>
      </c>
      <c r="L5" s="1">
        <f t="shared" ca="1" si="1"/>
        <v>237668838.27591005</v>
      </c>
      <c r="M5" s="1">
        <f t="shared" ca="1" si="1"/>
        <v>252847846.11643913</v>
      </c>
      <c r="N5" s="1">
        <f t="shared" ca="1" si="1"/>
        <v>267830695.99186963</v>
      </c>
      <c r="O5" s="1">
        <f t="shared" ca="1" si="1"/>
        <v>282363225.84841371</v>
      </c>
      <c r="P5" s="1">
        <f t="shared" ca="1" si="1"/>
        <v>297330134.40728855</v>
      </c>
      <c r="Q5" s="1">
        <f t="shared" ca="1" si="1"/>
        <v>312601109.71757007</v>
      </c>
      <c r="R5" s="1">
        <f t="shared" ca="1" si="1"/>
        <v>328024934.17709625</v>
      </c>
      <c r="S5" s="1">
        <f t="shared" ca="1" si="1"/>
        <v>343427435.53335881</v>
      </c>
      <c r="T5" s="1">
        <f t="shared" ca="1" si="1"/>
        <v>360104413.44899201</v>
      </c>
      <c r="U5" s="1">
        <f t="shared" ca="1" si="1"/>
        <v>378053381.51712477</v>
      </c>
      <c r="V5" s="1">
        <f t="shared" ca="1" si="1"/>
        <v>397264419.43326974</v>
      </c>
      <c r="W5" s="1">
        <f t="shared" ca="1" si="1"/>
        <v>417719323.18500179</v>
      </c>
      <c r="X5" s="1">
        <f t="shared" ca="1" si="1"/>
        <v>439390686.83968771</v>
      </c>
      <c r="Y5" s="1">
        <f t="shared" ca="1" si="1"/>
        <v>462240911.22952688</v>
      </c>
      <c r="Z5" s="1">
        <f t="shared" ca="1" si="1"/>
        <v>486221134.53790545</v>
      </c>
      <c r="AA5" s="1">
        <f t="shared" ca="1" si="1"/>
        <v>511270079.47829223</v>
      </c>
      <c r="AB5" s="1">
        <f t="shared" ca="1" si="1"/>
        <v>539104496.96050143</v>
      </c>
      <c r="AC5" s="1">
        <f t="shared" ca="1" si="1"/>
        <v>569870449.6791451</v>
      </c>
      <c r="AD5" s="1">
        <f t="shared" ca="1" si="1"/>
        <v>603718398.40519166</v>
      </c>
      <c r="AE5" s="1">
        <f t="shared" ca="1" si="1"/>
        <v>640803195.66969824</v>
      </c>
      <c r="AF5" s="1">
        <f t="shared" ca="1" si="1"/>
        <v>681284067.12542188</v>
      </c>
      <c r="AG5" s="1"/>
      <c r="AH5" s="1"/>
      <c r="AI5" s="1"/>
      <c r="AJ5" s="1"/>
      <c r="AK5" s="1"/>
      <c r="AL5" s="1"/>
      <c r="AM5" s="1"/>
      <c r="AN5" s="1"/>
      <c r="AO5" s="1"/>
      <c r="AP5" s="1"/>
    </row>
    <row r="6" spans="1:42" x14ac:dyDescent="0.35">
      <c r="A6" s="63" t="s">
        <v>3</v>
      </c>
      <c r="C6" s="1">
        <f ca="1">-'Cash Flow'!C13</f>
        <v>42587599.594449535</v>
      </c>
      <c r="D6" s="1">
        <f ca="1">-'Cash Flow'!D13</f>
        <v>39036028.502169594</v>
      </c>
      <c r="E6" s="1">
        <f ca="1">-'Cash Flow'!E13</f>
        <v>30295776.128659002</v>
      </c>
      <c r="F6" s="1">
        <f ca="1">-'Cash Flow'!F13</f>
        <v>23462386.062373452</v>
      </c>
      <c r="G6" s="1">
        <f ca="1">-'Cash Flow'!G13</f>
        <v>19882262.348787077</v>
      </c>
      <c r="H6" s="1">
        <f ca="1">-'Cash Flow'!H13</f>
        <v>17345768.456827581</v>
      </c>
      <c r="I6" s="1">
        <f ca="1">-'Cash Flow'!I13</f>
        <v>16022879.02732113</v>
      </c>
      <c r="J6" s="1">
        <f ca="1">-'Cash Flow'!J13</f>
        <v>14938055.063040167</v>
      </c>
      <c r="K6" s="1">
        <f ca="1">-'Cash Flow'!K13</f>
        <v>15154083.092282511</v>
      </c>
      <c r="L6" s="1">
        <f ca="1">-'Cash Flow'!L13</f>
        <v>15179007.840529077</v>
      </c>
      <c r="M6" s="1">
        <f ca="1">-'Cash Flow'!M13</f>
        <v>14982849.87543048</v>
      </c>
      <c r="N6" s="1">
        <f ca="1">-'Cash Flow'!N13</f>
        <v>14532529.856544092</v>
      </c>
      <c r="O6" s="1">
        <f ca="1">-'Cash Flow'!O13</f>
        <v>14966908.558874875</v>
      </c>
      <c r="P6" s="1">
        <f ca="1">-'Cash Flow'!P13</f>
        <v>15270975.3102815</v>
      </c>
      <c r="Q6" s="1">
        <f ca="1">-'Cash Flow'!Q13</f>
        <v>15423824.459526211</v>
      </c>
      <c r="R6" s="1">
        <f ca="1">-'Cash Flow'!R13</f>
        <v>15402501.356262535</v>
      </c>
      <c r="S6" s="1">
        <f ca="1">-'Cash Flow'!S13</f>
        <v>16676977.915633231</v>
      </c>
      <c r="T6" s="1">
        <f ca="1">-'Cash Flow'!T13</f>
        <v>17948968.068132788</v>
      </c>
      <c r="U6" s="1">
        <f ca="1">-'Cash Flow'!U13</f>
        <v>19211037.916144952</v>
      </c>
      <c r="V6" s="1">
        <f ca="1">-'Cash Flow'!V13</f>
        <v>20454903.751732051</v>
      </c>
      <c r="W6" s="1">
        <f ca="1">-'Cash Flow'!W13</f>
        <v>21671363.654685944</v>
      </c>
      <c r="X6" s="1">
        <f ca="1">-'Cash Flow'!X13</f>
        <v>22850224.389839172</v>
      </c>
      <c r="Y6" s="1">
        <f ca="1">-'Cash Flow'!Y13</f>
        <v>23980223.308378547</v>
      </c>
      <c r="Z6" s="1">
        <f ca="1">-'Cash Flow'!Z13</f>
        <v>25048944.940386757</v>
      </c>
      <c r="AA6" s="1">
        <f ca="1">-'Cash Flow'!AA13</f>
        <v>27834417.482209161</v>
      </c>
      <c r="AB6" s="1">
        <f ca="1">-'Cash Flow'!AB13</f>
        <v>30765952.718643665</v>
      </c>
      <c r="AC6" s="1">
        <f ca="1">-'Cash Flow'!AC13</f>
        <v>33847948.726046592</v>
      </c>
      <c r="AD6" s="1">
        <f ca="1">-'Cash Flow'!AD13</f>
        <v>37084797.264506638</v>
      </c>
      <c r="AE6" s="1">
        <f ca="1">-'Cash Flow'!AE13</f>
        <v>40480871.455723614</v>
      </c>
      <c r="AF6" s="1">
        <f ca="1">-'Cash Flow'!AF13</f>
        <v>44040512.309540421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2153605.9858057341</v>
      </c>
      <c r="D8" s="1">
        <f ca="1">IF(SUM(D5:D6)&gt;0,Assumptions!$C$26*SUM(D5:D6),Assumptions!$C$27*(SUM(D5:D6)))</f>
        <v>3519866.98338167</v>
      </c>
      <c r="E8" s="1">
        <f ca="1">IF(SUM(E5:E6)&gt;0,Assumptions!$C$26*SUM(E5:E6),Assumptions!$C$27*(SUM(E5:E6)))</f>
        <v>4580219.1478847349</v>
      </c>
      <c r="F8" s="1">
        <f ca="1">IF(SUM(F5:F6)&gt;0,Assumptions!$C$26*SUM(F5:F6),Assumptions!$C$27*(SUM(F5:F6)))</f>
        <v>5401402.660067806</v>
      </c>
      <c r="G8" s="1">
        <f ca="1">IF(SUM(G5:G6)&gt;0,Assumptions!$C$26*SUM(G5:G6),Assumptions!$C$27*(SUM(G5:G6)))</f>
        <v>6097281.8422753541</v>
      </c>
      <c r="H8" s="1">
        <f ca="1">IF(SUM(H5:H6)&gt;0,Assumptions!$C$26*SUM(H5:H6),Assumptions!$C$27*(SUM(H5:H6)))</f>
        <v>6704383.7382643195</v>
      </c>
      <c r="I8" s="1">
        <f ca="1">IF(SUM(I5:I6)&gt;0,Assumptions!$C$26*SUM(I5:I6),Assumptions!$C$27*(SUM(I5:I6)))</f>
        <v>7265184.5042205593</v>
      </c>
      <c r="J8" s="1">
        <f ca="1">IF(SUM(J5:J6)&gt;0,Assumptions!$C$26*SUM(J5:J6),Assumptions!$C$27*(SUM(J5:J6)))</f>
        <v>7788016.4314269647</v>
      </c>
      <c r="K8" s="1">
        <f ca="1">IF(SUM(K5:K6)&gt;0,Assumptions!$C$26*SUM(K5:K6),Assumptions!$C$27*(SUM(K5:K6)))</f>
        <v>8318409.3396568522</v>
      </c>
      <c r="L8" s="1">
        <f ca="1">IF(SUM(L5:L6)&gt;0,Assumptions!$C$26*SUM(L5:L6),Assumptions!$C$27*(SUM(L5:L6)))</f>
        <v>8849674.6140753701</v>
      </c>
      <c r="M8" s="1">
        <f ca="1">IF(SUM(M5:M6)&gt;0,Assumptions!$C$26*SUM(M5:M6),Assumptions!$C$27*(SUM(M5:M6)))</f>
        <v>9374074.3597154375</v>
      </c>
      <c r="N8" s="1">
        <f ca="1">IF(SUM(N5:N6)&gt;0,Assumptions!$C$26*SUM(N5:N6),Assumptions!$C$27*(SUM(N5:N6)))</f>
        <v>9882712.9046944808</v>
      </c>
      <c r="O8" s="1">
        <f ca="1">IF(SUM(O5:O6)&gt;0,Assumptions!$C$26*SUM(O5:O6),Assumptions!$C$27*(SUM(O5:O6)))</f>
        <v>10406554.7042551</v>
      </c>
      <c r="P8" s="1">
        <f ca="1">IF(SUM(P5:P6)&gt;0,Assumptions!$C$26*SUM(P5:P6),Assumptions!$C$27*(SUM(P5:P6)))</f>
        <v>10941038.840114953</v>
      </c>
      <c r="Q8" s="1">
        <f ca="1">IF(SUM(Q5:Q6)&gt;0,Assumptions!$C$26*SUM(Q5:Q6),Assumptions!$C$27*(SUM(Q5:Q6)))</f>
        <v>11480872.69619837</v>
      </c>
      <c r="R8" s="1">
        <f ca="1">IF(SUM(R5:R6)&gt;0,Assumptions!$C$26*SUM(R5:R6),Assumptions!$C$27*(SUM(R5:R6)))</f>
        <v>12019960.24366756</v>
      </c>
      <c r="S8" s="1">
        <f ca="1">IF(SUM(S5:S6)&gt;0,Assumptions!$C$26*SUM(S5:S6),Assumptions!$C$27*(SUM(S5:S6)))</f>
        <v>12603654.470714722</v>
      </c>
      <c r="T8" s="1">
        <f ca="1">IF(SUM(T5:T6)&gt;0,Assumptions!$C$26*SUM(T5:T6),Assumptions!$C$27*(SUM(T5:T6)))</f>
        <v>13231868.353099369</v>
      </c>
      <c r="U8" s="1">
        <f ca="1">IF(SUM(U5:U6)&gt;0,Assumptions!$C$26*SUM(U5:U6),Assumptions!$C$27*(SUM(U5:U6)))</f>
        <v>13904254.680164441</v>
      </c>
      <c r="V8" s="1">
        <f ca="1">IF(SUM(V5:V6)&gt;0,Assumptions!$C$26*SUM(V5:V6),Assumptions!$C$27*(SUM(V5:V6)))</f>
        <v>14620176.311475065</v>
      </c>
      <c r="W8" s="1">
        <f ca="1">IF(SUM(W5:W6)&gt;0,Assumptions!$C$26*SUM(W5:W6),Assumptions!$C$27*(SUM(W5:W6)))</f>
        <v>15378674.039389072</v>
      </c>
      <c r="X8" s="1">
        <f ca="1">IF(SUM(X5:X6)&gt;0,Assumptions!$C$26*SUM(X5:X6),Assumptions!$C$27*(SUM(X5:X6)))</f>
        <v>16178431.893033443</v>
      </c>
      <c r="Y8" s="1">
        <f ca="1">IF(SUM(Y5:Y6)&gt;0,Assumptions!$C$26*SUM(Y5:Y6),Assumptions!$C$27*(SUM(Y5:Y6)))</f>
        <v>17017739.708826691</v>
      </c>
      <c r="Z8" s="1">
        <f ca="1">IF(SUM(Z5:Z6)&gt;0,Assumptions!$C$26*SUM(Z5:Z6),Assumptions!$C$27*(SUM(Z5:Z6)))</f>
        <v>17894452.78174023</v>
      </c>
      <c r="AA8" s="1">
        <f ca="1">IF(SUM(AA5:AA6)&gt;0,Assumptions!$C$26*SUM(AA5:AA6),Assumptions!$C$27*(SUM(AA5:AA6)))</f>
        <v>18868657.393617552</v>
      </c>
      <c r="AB8" s="1">
        <f ca="1">IF(SUM(AB5:AB6)&gt;0,Assumptions!$C$26*SUM(AB5:AB6),Assumptions!$C$27*(SUM(AB5:AB6)))</f>
        <v>19945465.738770079</v>
      </c>
      <c r="AC8" s="1">
        <f ca="1">IF(SUM(AC5:AC6)&gt;0,Assumptions!$C$26*SUM(AC5:AC6),Assumptions!$C$27*(SUM(AC5:AC6)))</f>
        <v>21130143.94418171</v>
      </c>
      <c r="AD8" s="1">
        <f ca="1">IF(SUM(AD5:AD6)&gt;0,Assumptions!$C$26*SUM(AD5:AD6),Assumptions!$C$27*(SUM(AD5:AD6)))</f>
        <v>22428111.84843944</v>
      </c>
      <c r="AE8" s="1">
        <f ca="1">IF(SUM(AE5:AE6)&gt;0,Assumptions!$C$26*SUM(AE5:AE6),Assumptions!$C$27*(SUM(AE5:AE6)))</f>
        <v>23844942.349389769</v>
      </c>
      <c r="AF8" s="1">
        <f ca="1">IF(SUM(AF5:AF6)&gt;0,Assumptions!$C$26*SUM(AF5:AF6),Assumptions!$C$27*(SUM(AF5:AF6)))</f>
        <v>25386360.280223683</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sqref="A1:XFD1048576"/>
    </sheetView>
  </sheetViews>
  <sheetFormatPr defaultRowHeight="15.5" x14ac:dyDescent="0.35"/>
  <cols>
    <col min="1" max="1" width="94.9140625" style="63" customWidth="1"/>
    <col min="2" max="2" width="18.1640625" style="63" bestFit="1" customWidth="1"/>
    <col min="3" max="3" width="61.9140625" style="63" customWidth="1"/>
    <col min="4" max="16384" width="8.6640625" style="63"/>
  </cols>
  <sheetData>
    <row r="1" spans="1:3" ht="26" x14ac:dyDescent="0.6">
      <c r="A1" s="13" t="s">
        <v>184</v>
      </c>
    </row>
    <row r="2" spans="1:3" ht="26" x14ac:dyDescent="0.6">
      <c r="A2" s="13"/>
    </row>
    <row r="3" spans="1:3" ht="232.5" x14ac:dyDescent="0.35">
      <c r="A3" s="173" t="s">
        <v>187</v>
      </c>
    </row>
    <row r="4" spans="1:3" ht="26" x14ac:dyDescent="0.6">
      <c r="A4" s="13"/>
    </row>
    <row r="5" spans="1:3" ht="18.5" x14ac:dyDescent="0.45">
      <c r="A5" s="89" t="s">
        <v>176</v>
      </c>
      <c r="B5" s="90"/>
    </row>
    <row r="6" spans="1:3" ht="18.5" x14ac:dyDescent="0.45">
      <c r="A6" s="90"/>
      <c r="B6" s="90"/>
    </row>
    <row r="7" spans="1:3" ht="18.5" x14ac:dyDescent="0.35">
      <c r="A7" s="182" t="s">
        <v>97</v>
      </c>
      <c r="B7" s="183">
        <f>Assumptions!C24</f>
        <v>10181000</v>
      </c>
      <c r="C7" s="181" t="str">
        <f>Assumptions!B24</f>
        <v>RFI Table F10; Lines F10.62 - F10.61 + F10.70</v>
      </c>
    </row>
    <row r="8" spans="1:3" ht="34" x14ac:dyDescent="0.35">
      <c r="A8" s="182" t="s">
        <v>173</v>
      </c>
      <c r="B8" s="184">
        <f>Assumptions!$C$133</f>
        <v>0.7</v>
      </c>
      <c r="C8" s="181" t="s">
        <v>198</v>
      </c>
    </row>
    <row r="9" spans="1:3" ht="18.5" x14ac:dyDescent="0.35">
      <c r="A9" s="182"/>
      <c r="B9" s="185"/>
      <c r="C9" s="181"/>
    </row>
    <row r="10" spans="1:3" ht="68" x14ac:dyDescent="0.35">
      <c r="A10" s="186" t="s">
        <v>103</v>
      </c>
      <c r="B10" s="187">
        <f>Assumptions!C135</f>
        <v>6675.9259259259252</v>
      </c>
      <c r="C10" s="181" t="s">
        <v>199</v>
      </c>
    </row>
    <row r="11" spans="1:3" ht="18.5" x14ac:dyDescent="0.35">
      <c r="A11" s="186"/>
      <c r="B11" s="186"/>
      <c r="C11" s="181"/>
    </row>
    <row r="12" spans="1:3" ht="18.5" x14ac:dyDescent="0.35">
      <c r="A12" s="186" t="s">
        <v>183</v>
      </c>
      <c r="B12" s="183">
        <f>(B7*B8)/B10</f>
        <v>1067.5223300970874</v>
      </c>
      <c r="C12" s="181"/>
    </row>
    <row r="13" spans="1:3" ht="18.5" x14ac:dyDescent="0.35">
      <c r="A13" s="188"/>
      <c r="B13" s="189"/>
      <c r="C13" s="181"/>
    </row>
    <row r="14" spans="1:3" ht="18.5" x14ac:dyDescent="0.35">
      <c r="A14" s="186" t="s">
        <v>104</v>
      </c>
      <c r="B14" s="190">
        <v>1</v>
      </c>
      <c r="C14" s="181"/>
    </row>
    <row r="15" spans="1:3" ht="18.5" x14ac:dyDescent="0.35">
      <c r="A15" s="188"/>
      <c r="B15" s="191"/>
      <c r="C15" s="181"/>
    </row>
    <row r="16" spans="1:3" ht="18.5" x14ac:dyDescent="0.35">
      <c r="A16" s="188" t="s">
        <v>178</v>
      </c>
      <c r="B16" s="192">
        <f>B12/B14</f>
        <v>1067.5223300970874</v>
      </c>
      <c r="C16" s="181"/>
    </row>
    <row r="17" spans="1:3" ht="18.5" x14ac:dyDescent="0.35">
      <c r="A17" s="186"/>
      <c r="B17" s="193"/>
      <c r="C17" s="181"/>
    </row>
    <row r="18" spans="1:3" ht="18.5" x14ac:dyDescent="0.35">
      <c r="A18" s="194" t="s">
        <v>177</v>
      </c>
      <c r="B18" s="193"/>
      <c r="C18" s="181"/>
    </row>
    <row r="19" spans="1:3" ht="18.5" x14ac:dyDescent="0.35">
      <c r="A19" s="186"/>
      <c r="B19" s="193"/>
      <c r="C19" s="181"/>
    </row>
    <row r="20" spans="1:3" ht="34" x14ac:dyDescent="0.35">
      <c r="A20" s="186" t="s">
        <v>66</v>
      </c>
      <c r="B20" s="183">
        <f>'Profit and Loss'!L5</f>
        <v>96606078.654401302</v>
      </c>
      <c r="C20" s="181" t="s">
        <v>200</v>
      </c>
    </row>
    <row r="21" spans="1:3" ht="34" x14ac:dyDescent="0.35">
      <c r="A21" s="186" t="str">
        <f>A8</f>
        <v>Assumed revenue from households</v>
      </c>
      <c r="B21" s="184">
        <f>B8</f>
        <v>0.7</v>
      </c>
      <c r="C21" s="181" t="s">
        <v>198</v>
      </c>
    </row>
    <row r="22" spans="1:3" ht="18.5" x14ac:dyDescent="0.35">
      <c r="A22" s="186"/>
      <c r="B22" s="186"/>
      <c r="C22" s="181"/>
    </row>
    <row r="23" spans="1:3" ht="34" x14ac:dyDescent="0.35">
      <c r="A23" s="186" t="s">
        <v>102</v>
      </c>
      <c r="B23" s="187">
        <f>Assumptions!M135</f>
        <v>8231.9257989780799</v>
      </c>
      <c r="C23" s="181" t="s">
        <v>201</v>
      </c>
    </row>
    <row r="24" spans="1:3" ht="18.5" x14ac:dyDescent="0.35">
      <c r="A24" s="186"/>
      <c r="B24" s="186"/>
      <c r="C24" s="181"/>
    </row>
    <row r="25" spans="1:3" ht="18.5" x14ac:dyDescent="0.35">
      <c r="A25" s="186" t="s">
        <v>182</v>
      </c>
      <c r="B25" s="183">
        <f>(B20*B21)/B23</f>
        <v>8214.8766533434809</v>
      </c>
      <c r="C25" s="181"/>
    </row>
    <row r="26" spans="1:3" ht="18.5" x14ac:dyDescent="0.35">
      <c r="A26" s="186"/>
      <c r="B26" s="183"/>
      <c r="C26" s="181"/>
    </row>
    <row r="27" spans="1:3" ht="34" x14ac:dyDescent="0.35">
      <c r="A27" s="186" t="s">
        <v>104</v>
      </c>
      <c r="B27" s="195">
        <f>1.022^11</f>
        <v>1.2704566586717592</v>
      </c>
      <c r="C27" s="181" t="s">
        <v>202</v>
      </c>
    </row>
    <row r="28" spans="1:3" ht="18.5" x14ac:dyDescent="0.35">
      <c r="A28" s="188"/>
      <c r="B28" s="189"/>
      <c r="C28" s="181"/>
    </row>
    <row r="29" spans="1:3" ht="18.5" x14ac:dyDescent="0.35">
      <c r="A29" s="188" t="s">
        <v>179</v>
      </c>
      <c r="B29" s="183">
        <f>B25/B27</f>
        <v>6466.0817803355803</v>
      </c>
      <c r="C29" s="181"/>
    </row>
    <row r="30" spans="1:3" ht="18.5" x14ac:dyDescent="0.35">
      <c r="A30" s="188"/>
      <c r="B30" s="189"/>
      <c r="C30" s="181"/>
    </row>
    <row r="31" spans="1:3" ht="18.5" x14ac:dyDescent="0.35">
      <c r="A31" s="194" t="s">
        <v>185</v>
      </c>
      <c r="B31" s="188"/>
      <c r="C31" s="181"/>
    </row>
    <row r="32" spans="1:3" ht="18.5" x14ac:dyDescent="0.35">
      <c r="A32" s="186"/>
      <c r="B32" s="183"/>
      <c r="C32" s="181"/>
    </row>
    <row r="33" spans="1:3" ht="34" x14ac:dyDescent="0.35">
      <c r="A33" s="186" t="s">
        <v>67</v>
      </c>
      <c r="B33" s="183">
        <f>'Profit and Loss'!AF5</f>
        <v>273463556.41467798</v>
      </c>
      <c r="C33" s="181" t="s">
        <v>200</v>
      </c>
    </row>
    <row r="34" spans="1:3" ht="34" x14ac:dyDescent="0.35">
      <c r="A34" s="186" t="str">
        <f>A21</f>
        <v>Assumed revenue from households</v>
      </c>
      <c r="B34" s="184">
        <f>B21</f>
        <v>0.7</v>
      </c>
      <c r="C34" s="181" t="s">
        <v>198</v>
      </c>
    </row>
    <row r="35" spans="1:3" ht="18.5" x14ac:dyDescent="0.35">
      <c r="A35" s="186"/>
      <c r="B35" s="186"/>
      <c r="C35" s="181"/>
    </row>
    <row r="36" spans="1:3" ht="34" x14ac:dyDescent="0.35">
      <c r="A36" s="186" t="s">
        <v>101</v>
      </c>
      <c r="B36" s="187">
        <f>Assumptions!AG135</f>
        <v>12516.454441137081</v>
      </c>
      <c r="C36" s="181" t="s">
        <v>201</v>
      </c>
    </row>
    <row r="37" spans="1:3" ht="18.5" x14ac:dyDescent="0.35">
      <c r="A37" s="186"/>
      <c r="B37" s="186"/>
      <c r="C37" s="181"/>
    </row>
    <row r="38" spans="1:3" ht="18.5" x14ac:dyDescent="0.35">
      <c r="A38" s="186" t="s">
        <v>181</v>
      </c>
      <c r="B38" s="183">
        <f>(B33*B34)/B36</f>
        <v>15293.827049066802</v>
      </c>
      <c r="C38" s="181"/>
    </row>
    <row r="39" spans="1:3" ht="18.5" x14ac:dyDescent="0.35">
      <c r="A39" s="186"/>
      <c r="B39" s="186"/>
      <c r="C39" s="181"/>
    </row>
    <row r="40" spans="1:3" ht="34" x14ac:dyDescent="0.35">
      <c r="A40" s="186" t="s">
        <v>104</v>
      </c>
      <c r="B40" s="195">
        <f>1.022^31</f>
        <v>1.9632597808456462</v>
      </c>
      <c r="C40" s="181" t="s">
        <v>202</v>
      </c>
    </row>
    <row r="41" spans="1:3" ht="18.5" x14ac:dyDescent="0.35">
      <c r="A41" s="188"/>
      <c r="B41" s="189"/>
      <c r="C41" s="196"/>
    </row>
    <row r="42" spans="1:3" ht="18.5" x14ac:dyDescent="0.35">
      <c r="A42" s="188" t="s">
        <v>180</v>
      </c>
      <c r="B42" s="183">
        <f>B38/B40</f>
        <v>7790.0169902524076</v>
      </c>
      <c r="C42" s="19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7" t="s">
        <v>28</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row>
    <row r="4" spans="1:33" s="120" customFormat="1" ht="16" thickBot="1" x14ac:dyDescent="0.4">
      <c r="A4" s="115" t="s">
        <v>26</v>
      </c>
      <c r="B4" s="115" t="s">
        <v>195</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137</v>
      </c>
      <c r="C13" s="127">
        <v>2.1172224835406261E-2</v>
      </c>
      <c r="D13" s="128">
        <f t="shared" ref="D13:AG13" si="3">(1+$C$13)^D8</f>
        <v>1.0211722248354063</v>
      </c>
      <c r="E13" s="128">
        <f t="shared" si="3"/>
        <v>1.0427927127752936</v>
      </c>
      <c r="F13" s="128">
        <f t="shared" si="3"/>
        <v>1.0648709545468953</v>
      </c>
      <c r="G13" s="128">
        <f t="shared" si="3"/>
        <v>1.0874166418172559</v>
      </c>
      <c r="H13" s="128">
        <f t="shared" si="3"/>
        <v>1.1104396714475733</v>
      </c>
      <c r="I13" s="128">
        <f t="shared" si="3"/>
        <v>1.1339501498376161</v>
      </c>
      <c r="J13" s="128">
        <f t="shared" si="3"/>
        <v>1.1579583973621206</v>
      </c>
      <c r="K13" s="128">
        <f t="shared" si="3"/>
        <v>1.1824749529011183</v>
      </c>
      <c r="L13" s="128">
        <f t="shared" si="3"/>
        <v>1.2075105784661773</v>
      </c>
      <c r="M13" s="128">
        <f t="shared" si="3"/>
        <v>1.2330762639245947</v>
      </c>
      <c r="N13" s="128">
        <f t="shared" si="3"/>
        <v>1.2591832318236089</v>
      </c>
      <c r="O13" s="128">
        <f t="shared" si="3"/>
        <v>1.2858429423167519</v>
      </c>
      <c r="P13" s="128">
        <f t="shared" si="3"/>
        <v>1.3130670981945025</v>
      </c>
      <c r="Q13" s="128">
        <f t="shared" si="3"/>
        <v>1.3408676500214511</v>
      </c>
      <c r="R13" s="128">
        <f t="shared" si="3"/>
        <v>1.3692568013822279</v>
      </c>
      <c r="S13" s="128">
        <f t="shared" si="3"/>
        <v>1.398247014238502</v>
      </c>
      <c r="T13" s="128">
        <f t="shared" si="3"/>
        <v>1.427851014399395</v>
      </c>
      <c r="U13" s="128">
        <f t="shared" si="3"/>
        <v>1.458081797107722</v>
      </c>
      <c r="V13" s="128">
        <f t="shared" si="3"/>
        <v>1.4889526327445</v>
      </c>
      <c r="W13" s="128">
        <f t="shared" si="3"/>
        <v>1.5204770726542367</v>
      </c>
      <c r="X13" s="128">
        <f t="shared" si="3"/>
        <v>1.5526689550935524</v>
      </c>
      <c r="Y13" s="128">
        <f t="shared" si="3"/>
        <v>1.5855424113057486</v>
      </c>
      <c r="Z13" s="128">
        <f t="shared" si="3"/>
        <v>1.6191118717239859</v>
      </c>
      <c r="AA13" s="128">
        <f t="shared" si="3"/>
        <v>1.6533920723058018</v>
      </c>
      <c r="AB13" s="128">
        <f t="shared" si="3"/>
        <v>1.6883980610017386</v>
      </c>
      <c r="AC13" s="128">
        <f t="shared" si="3"/>
        <v>1.7241452043609315</v>
      </c>
      <c r="AD13" s="128">
        <f t="shared" si="3"/>
        <v>1.7606491942765485</v>
      </c>
      <c r="AE13" s="128">
        <f t="shared" si="3"/>
        <v>1.7979260548740486</v>
      </c>
      <c r="AF13" s="128">
        <f t="shared" si="3"/>
        <v>1.8359921495452769</v>
      </c>
      <c r="AG13" s="128">
        <f t="shared" si="3"/>
        <v>1.8748641881314907</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131</v>
      </c>
      <c r="B17" s="77" t="s">
        <v>169</v>
      </c>
      <c r="C17" s="136">
        <f>AVERAGE(C49:C50)</f>
        <v>382250000.00000006</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191125000.00000003</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136</v>
      </c>
      <c r="C20" s="137">
        <v>18944000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179" t="s">
        <v>197</v>
      </c>
      <c r="C24" s="136">
        <v>10181000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5040346.5100000007</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130</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130</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134</v>
      </c>
      <c r="C49" s="71">
        <v>254840000.00000003</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135</v>
      </c>
      <c r="C50" s="71">
        <v>509660000.00000006</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752681.13002794213</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2128933.3218163834</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1440807.2259221626</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2051598.6658804959</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5459476.8646229235</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3755537.7652517096</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5884471.087068093</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180" t="s">
        <v>175</v>
      </c>
      <c r="C77" s="87">
        <v>177564599.99999997</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2092201510.5549202</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2220439597.1196895</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87</v>
      </c>
      <c r="C82" s="87">
        <f>C79+$C$77</f>
        <v>2269766110.5549202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87</v>
      </c>
      <c r="C83" s="87">
        <f>C80+$C$77</f>
        <v>2398004197.1196895</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132</v>
      </c>
      <c r="C85" s="150">
        <v>20435</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15615</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18025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87</v>
      </c>
      <c r="C89" s="150">
        <f>C82/$C$87</f>
        <v>125923.22388654204</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87</v>
      </c>
      <c r="C90" s="150">
        <f>C83/$C$87</f>
        <v>133037.68083881773</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87</v>
      </c>
      <c r="C94" s="87">
        <f>IF(C89&lt;$C$92,C89*$C$87,$C$92*$C$87)</f>
        <v>1261750000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87</v>
      </c>
      <c r="C95" s="87">
        <f>IF(C90&lt;$C$92,C90*$C$87,$C$92*$C$87)</f>
        <v>1261750000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87</v>
      </c>
      <c r="C96" s="87">
        <f>AVERAGE(C94:C95)</f>
        <v>1261750000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1261750000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42058333.333333336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203</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204</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5884471.087068093</v>
      </c>
      <c r="E111" s="149">
        <f t="shared" si="9"/>
        <v>5884471.087068093</v>
      </c>
      <c r="F111" s="149">
        <f t="shared" si="9"/>
        <v>5884471.087068093</v>
      </c>
      <c r="G111" s="149">
        <f t="shared" si="9"/>
        <v>5884471.087068093</v>
      </c>
      <c r="H111" s="149">
        <f t="shared" si="9"/>
        <v>5884471.087068093</v>
      </c>
      <c r="I111" s="149">
        <f t="shared" si="9"/>
        <v>5884471.087068093</v>
      </c>
      <c r="J111" s="149">
        <f t="shared" si="9"/>
        <v>5884471.087068093</v>
      </c>
      <c r="K111" s="149">
        <f t="shared" si="9"/>
        <v>5884471.087068093</v>
      </c>
      <c r="L111" s="149">
        <f t="shared" si="9"/>
        <v>5884471.087068093</v>
      </c>
      <c r="M111" s="149">
        <f t="shared" si="9"/>
        <v>5884471.087068093</v>
      </c>
      <c r="N111" s="149">
        <f t="shared" si="9"/>
        <v>5884471.087068093</v>
      </c>
      <c r="O111" s="149">
        <f t="shared" si="9"/>
        <v>5884471.087068093</v>
      </c>
      <c r="P111" s="149">
        <f t="shared" si="9"/>
        <v>5884471.087068093</v>
      </c>
      <c r="Q111" s="149">
        <f t="shared" si="9"/>
        <v>5884471.087068093</v>
      </c>
      <c r="R111" s="149">
        <f t="shared" si="9"/>
        <v>5884471.087068093</v>
      </c>
      <c r="S111" s="149">
        <f t="shared" si="9"/>
        <v>5884471.087068093</v>
      </c>
      <c r="T111" s="149">
        <f t="shared" si="9"/>
        <v>5884471.087068093</v>
      </c>
      <c r="U111" s="149">
        <f t="shared" si="9"/>
        <v>5884471.087068093</v>
      </c>
      <c r="V111" s="149">
        <f t="shared" si="9"/>
        <v>5884471.087068093</v>
      </c>
      <c r="W111" s="149">
        <f t="shared" si="9"/>
        <v>5884471.087068093</v>
      </c>
      <c r="X111" s="149">
        <f t="shared" si="9"/>
        <v>5884471.087068093</v>
      </c>
      <c r="Y111" s="149">
        <f t="shared" si="9"/>
        <v>5884471.087068093</v>
      </c>
      <c r="Z111" s="149">
        <f t="shared" si="9"/>
        <v>5884471.087068093</v>
      </c>
      <c r="AA111" s="149">
        <f t="shared" si="9"/>
        <v>5884471.087068093</v>
      </c>
      <c r="AB111" s="149">
        <f t="shared" si="9"/>
        <v>5884471.087068093</v>
      </c>
      <c r="AC111" s="149">
        <f t="shared" si="9"/>
        <v>5884471.087068093</v>
      </c>
      <c r="AD111" s="149">
        <f t="shared" si="9"/>
        <v>5884471.087068093</v>
      </c>
      <c r="AE111" s="149">
        <f t="shared" si="9"/>
        <v>5884471.087068093</v>
      </c>
      <c r="AF111" s="149">
        <f t="shared" si="9"/>
        <v>5884471.087068093</v>
      </c>
      <c r="AG111" s="149">
        <f t="shared" si="9"/>
        <v>5884471.087068093</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1261750000</v>
      </c>
      <c r="D113" s="149">
        <f t="shared" ref="D113:AG113" si="10">$C$102</f>
        <v>42058333.333333336</v>
      </c>
      <c r="E113" s="149">
        <f t="shared" si="10"/>
        <v>42058333.333333336</v>
      </c>
      <c r="F113" s="149">
        <f t="shared" si="10"/>
        <v>42058333.333333336</v>
      </c>
      <c r="G113" s="149">
        <f t="shared" si="10"/>
        <v>42058333.333333336</v>
      </c>
      <c r="H113" s="149">
        <f t="shared" si="10"/>
        <v>42058333.333333336</v>
      </c>
      <c r="I113" s="149">
        <f t="shared" si="10"/>
        <v>42058333.333333336</v>
      </c>
      <c r="J113" s="149">
        <f t="shared" si="10"/>
        <v>42058333.333333336</v>
      </c>
      <c r="K113" s="149">
        <f t="shared" si="10"/>
        <v>42058333.333333336</v>
      </c>
      <c r="L113" s="149">
        <f t="shared" si="10"/>
        <v>42058333.333333336</v>
      </c>
      <c r="M113" s="149">
        <f t="shared" si="10"/>
        <v>42058333.333333336</v>
      </c>
      <c r="N113" s="149">
        <f t="shared" si="10"/>
        <v>42058333.333333336</v>
      </c>
      <c r="O113" s="149">
        <f t="shared" si="10"/>
        <v>42058333.333333336</v>
      </c>
      <c r="P113" s="149">
        <f t="shared" si="10"/>
        <v>42058333.333333336</v>
      </c>
      <c r="Q113" s="149">
        <f t="shared" si="10"/>
        <v>42058333.333333336</v>
      </c>
      <c r="R113" s="149">
        <f t="shared" si="10"/>
        <v>42058333.333333336</v>
      </c>
      <c r="S113" s="149">
        <f t="shared" si="10"/>
        <v>42058333.333333336</v>
      </c>
      <c r="T113" s="149">
        <f t="shared" si="10"/>
        <v>42058333.333333336</v>
      </c>
      <c r="U113" s="149">
        <f t="shared" si="10"/>
        <v>42058333.333333336</v>
      </c>
      <c r="V113" s="149">
        <f t="shared" si="10"/>
        <v>42058333.333333336</v>
      </c>
      <c r="W113" s="149">
        <f t="shared" si="10"/>
        <v>42058333.333333336</v>
      </c>
      <c r="X113" s="149">
        <f t="shared" si="10"/>
        <v>42058333.333333336</v>
      </c>
      <c r="Y113" s="149">
        <f t="shared" si="10"/>
        <v>42058333.333333336</v>
      </c>
      <c r="Z113" s="149">
        <f t="shared" si="10"/>
        <v>42058333.333333336</v>
      </c>
      <c r="AA113" s="149">
        <f t="shared" si="10"/>
        <v>42058333.333333336</v>
      </c>
      <c r="AB113" s="149">
        <f t="shared" si="10"/>
        <v>42058333.333333336</v>
      </c>
      <c r="AC113" s="149">
        <f t="shared" si="10"/>
        <v>42058333.333333336</v>
      </c>
      <c r="AD113" s="149">
        <f t="shared" si="10"/>
        <v>42058333.333333336</v>
      </c>
      <c r="AE113" s="149">
        <f t="shared" si="10"/>
        <v>42058333.333333336</v>
      </c>
      <c r="AF113" s="149">
        <f t="shared" si="10"/>
        <v>42058333.333333336</v>
      </c>
      <c r="AG113" s="149">
        <f t="shared" si="10"/>
        <v>42058333.333333336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42058333.333333336</v>
      </c>
      <c r="E118" s="149">
        <f t="shared" ref="E118:AG118" si="13">E113+E115+E116</f>
        <v>42058333.333333336</v>
      </c>
      <c r="F118" s="149">
        <f>F113+F115+F116</f>
        <v>42058333.333333336</v>
      </c>
      <c r="G118" s="149">
        <f t="shared" si="13"/>
        <v>42058333.333333336</v>
      </c>
      <c r="H118" s="149">
        <f t="shared" si="13"/>
        <v>42058333.333333336</v>
      </c>
      <c r="I118" s="149">
        <f t="shared" si="13"/>
        <v>42058333.333333336</v>
      </c>
      <c r="J118" s="149">
        <f t="shared" si="13"/>
        <v>42058333.333333336</v>
      </c>
      <c r="K118" s="149">
        <f t="shared" si="13"/>
        <v>42058333.333333336</v>
      </c>
      <c r="L118" s="149">
        <f t="shared" si="13"/>
        <v>42058333.333333336</v>
      </c>
      <c r="M118" s="149">
        <f t="shared" si="13"/>
        <v>42058333.333333336</v>
      </c>
      <c r="N118" s="149">
        <f t="shared" si="13"/>
        <v>42058333.333333336</v>
      </c>
      <c r="O118" s="149">
        <f t="shared" si="13"/>
        <v>42058333.333333336</v>
      </c>
      <c r="P118" s="149">
        <f t="shared" si="13"/>
        <v>42058333.333333336</v>
      </c>
      <c r="Q118" s="149">
        <f t="shared" si="13"/>
        <v>42058333.333333336</v>
      </c>
      <c r="R118" s="149">
        <f t="shared" si="13"/>
        <v>42058333.333333336</v>
      </c>
      <c r="S118" s="149">
        <f t="shared" si="13"/>
        <v>42058333.333333336</v>
      </c>
      <c r="T118" s="149">
        <f t="shared" si="13"/>
        <v>42058333.333333336</v>
      </c>
      <c r="U118" s="149">
        <f t="shared" si="13"/>
        <v>42058333.333333336</v>
      </c>
      <c r="V118" s="149">
        <f t="shared" si="13"/>
        <v>42058333.333333336</v>
      </c>
      <c r="W118" s="149">
        <f t="shared" si="13"/>
        <v>42058333.333333336</v>
      </c>
      <c r="X118" s="149">
        <f t="shared" si="13"/>
        <v>42058333.333333336</v>
      </c>
      <c r="Y118" s="149">
        <f t="shared" si="13"/>
        <v>42058333.333333336</v>
      </c>
      <c r="Z118" s="149">
        <f t="shared" si="13"/>
        <v>42058333.333333336</v>
      </c>
      <c r="AA118" s="149">
        <f t="shared" si="13"/>
        <v>42058333.333333336</v>
      </c>
      <c r="AB118" s="149">
        <f t="shared" si="13"/>
        <v>42058333.333333336</v>
      </c>
      <c r="AC118" s="149">
        <f t="shared" si="13"/>
        <v>42058333.333333336</v>
      </c>
      <c r="AD118" s="149">
        <f t="shared" si="13"/>
        <v>42058333.333333336</v>
      </c>
      <c r="AE118" s="149">
        <f t="shared" si="13"/>
        <v>42058333.333333336</v>
      </c>
      <c r="AF118" s="149">
        <f t="shared" si="13"/>
        <v>42058333.333333336</v>
      </c>
      <c r="AG118" s="149">
        <f t="shared" si="13"/>
        <v>42058333.333333336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1009400</v>
      </c>
      <c r="E120" s="149">
        <f>(SUM($D$118:E118)*$C$104/$C$106)+(SUM($D$118:E118)*$C$105/$C$107)</f>
        <v>2018800</v>
      </c>
      <c r="F120" s="149">
        <f>(SUM($D$118:F118)*$C$104/$C$106)+(SUM($D$118:F118)*$C$105/$C$107)</f>
        <v>3028200</v>
      </c>
      <c r="G120" s="149">
        <f>(SUM($D$118:G118)*$C$104/$C$106)+(SUM($D$118:G118)*$C$105/$C$107)</f>
        <v>4037600</v>
      </c>
      <c r="H120" s="149">
        <f>(SUM($D$118:H118)*$C$104/$C$106)+(SUM($D$118:H118)*$C$105/$C$107)</f>
        <v>5047000</v>
      </c>
      <c r="I120" s="149">
        <f>(SUM($D$118:I118)*$C$104/$C$106)+(SUM($D$118:I118)*$C$105/$C$107)</f>
        <v>6056400</v>
      </c>
      <c r="J120" s="149">
        <f>(SUM($D$118:J118)*$C$104/$C$106)+(SUM($D$118:J118)*$C$105/$C$107)</f>
        <v>7065800.0000000019</v>
      </c>
      <c r="K120" s="149">
        <f>(SUM($D$118:K118)*$C$104/$C$106)+(SUM($D$118:K118)*$C$105/$C$107)</f>
        <v>8075200</v>
      </c>
      <c r="L120" s="149">
        <f>(SUM($D$118:L118)*$C$104/$C$106)+(SUM($D$118:L118)*$C$105/$C$107)</f>
        <v>9084600</v>
      </c>
      <c r="M120" s="149">
        <f>(SUM($D$118:M118)*$C$104/$C$106)+(SUM($D$118:M118)*$C$105/$C$107)</f>
        <v>10094000</v>
      </c>
      <c r="N120" s="149">
        <f>(SUM($D$118:N118)*$C$104/$C$106)+(SUM($D$118:N118)*$C$105/$C$107)</f>
        <v>11103399.999999998</v>
      </c>
      <c r="O120" s="149">
        <f>(SUM($D$118:O118)*$C$104/$C$106)+(SUM($D$118:O118)*$C$105/$C$107)</f>
        <v>12112799.999999998</v>
      </c>
      <c r="P120" s="149">
        <f>(SUM($D$118:P118)*$C$104/$C$106)+(SUM($D$118:P118)*$C$105/$C$107)</f>
        <v>13122199.999999996</v>
      </c>
      <c r="Q120" s="149">
        <f>(SUM($D$118:Q118)*$C$104/$C$106)+(SUM($D$118:Q118)*$C$105/$C$107)</f>
        <v>14131599.999999998</v>
      </c>
      <c r="R120" s="149">
        <f>(SUM($D$118:R118)*$C$104/$C$106)+(SUM($D$118:R118)*$C$105/$C$107)</f>
        <v>15141000</v>
      </c>
      <c r="S120" s="149">
        <f>(SUM($D$118:S118)*$C$104/$C$106)+(SUM($D$118:S118)*$C$105/$C$107)</f>
        <v>16150400</v>
      </c>
      <c r="T120" s="149">
        <f>(SUM($D$118:T118)*$C$104/$C$106)+(SUM($D$118:T118)*$C$105/$C$107)</f>
        <v>17159800.000000004</v>
      </c>
      <c r="U120" s="149">
        <f>(SUM($D$118:U118)*$C$104/$C$106)+(SUM($D$118:U118)*$C$105/$C$107)</f>
        <v>18169200.000000004</v>
      </c>
      <c r="V120" s="149">
        <f>(SUM($D$118:V118)*$C$104/$C$106)+(SUM($D$118:V118)*$C$105/$C$107)</f>
        <v>19178600.000000004</v>
      </c>
      <c r="W120" s="149">
        <f>(SUM($D$118:W118)*$C$104/$C$106)+(SUM($D$118:W118)*$C$105/$C$107)</f>
        <v>20188000.000000004</v>
      </c>
      <c r="X120" s="149">
        <f>(SUM($D$118:X118)*$C$104/$C$106)+(SUM($D$118:X118)*$C$105/$C$107)</f>
        <v>21197400.000000004</v>
      </c>
      <c r="Y120" s="149">
        <f>(SUM($D$118:Y118)*$C$104/$C$106)+(SUM($D$118:Y118)*$C$105/$C$107)</f>
        <v>22206800.000000007</v>
      </c>
      <c r="Z120" s="149">
        <f>(SUM($D$118:Z118)*$C$104/$C$106)+(SUM($D$118:Z118)*$C$105/$C$107)</f>
        <v>23216200.000000004</v>
      </c>
      <c r="AA120" s="149">
        <f>(SUM($D$118:AA118)*$C$104/$C$106)+(SUM($D$118:AA118)*$C$105/$C$107)</f>
        <v>24225600.000000007</v>
      </c>
      <c r="AB120" s="149">
        <f>(SUM($D$118:AB118)*$C$104/$C$106)+(SUM($D$118:AB118)*$C$105/$C$107)</f>
        <v>25235000.000000011</v>
      </c>
      <c r="AC120" s="149">
        <f>(SUM($D$118:AC118)*$C$104/$C$106)+(SUM($D$118:AC118)*$C$105/$C$107)</f>
        <v>26244400.000000004</v>
      </c>
      <c r="AD120" s="149">
        <f>(SUM($D$118:AD118)*$C$104/$C$106)+(SUM($D$118:AD118)*$C$105/$C$107)</f>
        <v>27253800.000000004</v>
      </c>
      <c r="AE120" s="149">
        <f>(SUM($D$118:AE118)*$C$104/$C$106)+(SUM($D$118:AE118)*$C$105/$C$107)</f>
        <v>28263200.000000007</v>
      </c>
      <c r="AF120" s="149">
        <f>(SUM($D$118:AF118)*$C$104/$C$106)+(SUM($D$118:AF118)*$C$105/$C$107)</f>
        <v>29272600</v>
      </c>
      <c r="AG120" s="149">
        <f>(SUM($D$118:AG118)*$C$104/$C$106)+(SUM($D$118:AG118)*$C$105/$C$107)</f>
        <v>30282000</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1261750</v>
      </c>
      <c r="E122" s="72">
        <f>(SUM($D$118:E118)*$C$109)</f>
        <v>2523500</v>
      </c>
      <c r="F122" s="72">
        <f>(SUM($D$118:F118)*$C$109)</f>
        <v>3785250</v>
      </c>
      <c r="G122" s="72">
        <f>(SUM($D$118:G118)*$C$109)</f>
        <v>5047000</v>
      </c>
      <c r="H122" s="72">
        <f>(SUM($D$118:H118)*$C$109)</f>
        <v>6308750</v>
      </c>
      <c r="I122" s="72">
        <f>(SUM($D$118:I118)*$C$109)</f>
        <v>7570500.0000000009</v>
      </c>
      <c r="J122" s="72">
        <f>(SUM($D$118:J118)*$C$109)</f>
        <v>8832250</v>
      </c>
      <c r="K122" s="72">
        <f>(SUM($D$118:K118)*$C$109)</f>
        <v>10094000</v>
      </c>
      <c r="L122" s="72">
        <f>(SUM($D$118:L118)*$C$109)</f>
        <v>11355750</v>
      </c>
      <c r="M122" s="72">
        <f>(SUM($D$118:M118)*$C$109)</f>
        <v>12617499.999999998</v>
      </c>
      <c r="N122" s="72">
        <f>(SUM($D$118:N118)*$C$109)</f>
        <v>13879249.999999998</v>
      </c>
      <c r="O122" s="72">
        <f>(SUM($D$118:O118)*$C$109)</f>
        <v>15140999.999999998</v>
      </c>
      <c r="P122" s="72">
        <f>(SUM($D$118:P118)*$C$109)</f>
        <v>16402749.999999996</v>
      </c>
      <c r="Q122" s="72">
        <f>(SUM($D$118:Q118)*$C$109)</f>
        <v>17664500</v>
      </c>
      <c r="R122" s="72">
        <f>(SUM($D$118:R118)*$C$109)</f>
        <v>18926250</v>
      </c>
      <c r="S122" s="72">
        <f>(SUM($D$118:S118)*$C$109)</f>
        <v>20188000</v>
      </c>
      <c r="T122" s="72">
        <f>(SUM($D$118:T118)*$C$109)</f>
        <v>21449750</v>
      </c>
      <c r="U122" s="72">
        <f>(SUM($D$118:U118)*$C$109)</f>
        <v>22711500.000000004</v>
      </c>
      <c r="V122" s="72">
        <f>(SUM($D$118:V118)*$C$109)</f>
        <v>23973250.000000004</v>
      </c>
      <c r="W122" s="72">
        <f>(SUM($D$118:W118)*$C$109)</f>
        <v>25235000.000000004</v>
      </c>
      <c r="X122" s="72">
        <f>(SUM($D$118:X118)*$C$109)</f>
        <v>26496750.000000007</v>
      </c>
      <c r="Y122" s="72">
        <f>(SUM($D$118:Y118)*$C$109)</f>
        <v>27758500.000000007</v>
      </c>
      <c r="Z122" s="72">
        <f>(SUM($D$118:Z118)*$C$109)</f>
        <v>29020250.000000007</v>
      </c>
      <c r="AA122" s="72">
        <f>(SUM($D$118:AA118)*$C$109)</f>
        <v>30282000.000000011</v>
      </c>
      <c r="AB122" s="72">
        <f>(SUM($D$118:AB118)*$C$109)</f>
        <v>31543750.000000011</v>
      </c>
      <c r="AC122" s="72">
        <f>(SUM($D$118:AC118)*$C$109)</f>
        <v>32805500.000000007</v>
      </c>
      <c r="AD122" s="72">
        <f>(SUM($D$118:AD118)*$C$109)</f>
        <v>34067250.000000007</v>
      </c>
      <c r="AE122" s="72">
        <f>(SUM($D$118:AE118)*$C$109)</f>
        <v>35329000</v>
      </c>
      <c r="AF122" s="72">
        <f>(SUM($D$118:AF118)*$C$109)</f>
        <v>36590750</v>
      </c>
      <c r="AG122" s="72">
        <f>(SUM($D$118:AG118)*$C$109)</f>
        <v>37852500</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132</v>
      </c>
      <c r="C126" s="126">
        <v>20435</v>
      </c>
      <c r="D126" s="140"/>
    </row>
    <row r="127" spans="1:33" x14ac:dyDescent="0.35">
      <c r="A127" s="77" t="s">
        <v>150</v>
      </c>
      <c r="B127" s="77" t="s">
        <v>133</v>
      </c>
      <c r="C127" s="126">
        <v>15615</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18025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6675.9259259259252</v>
      </c>
      <c r="D135" s="157">
        <f t="shared" ref="D135:AG135" si="14">$C$135*D13</f>
        <v>6817.2701306141462</v>
      </c>
      <c r="E135" s="157">
        <f t="shared" si="14"/>
        <v>6961.6069065832098</v>
      </c>
      <c r="F135" s="157">
        <f t="shared" si="14"/>
        <v>7108.9996132251053</v>
      </c>
      <c r="G135" s="157">
        <f t="shared" si="14"/>
        <v>7259.5129513911243</v>
      </c>
      <c r="H135" s="157">
        <f t="shared" si="14"/>
        <v>7413.2129917935208</v>
      </c>
      <c r="I135" s="157">
        <f t="shared" si="14"/>
        <v>7570.1672040085286</v>
      </c>
      <c r="J135" s="157">
        <f t="shared" si="14"/>
        <v>7730.4444860934154</v>
      </c>
      <c r="K135" s="157">
        <f t="shared" si="14"/>
        <v>7894.1151948306124</v>
      </c>
      <c r="L135" s="157">
        <f t="shared" si="14"/>
        <v>8061.2511766121643</v>
      </c>
      <c r="M135" s="157">
        <f t="shared" si="14"/>
        <v>8231.9257989780799</v>
      </c>
      <c r="N135" s="157">
        <f t="shared" si="14"/>
        <v>8406.2139828224244</v>
      </c>
      <c r="O135" s="157">
        <f t="shared" si="14"/>
        <v>8584.192235281278</v>
      </c>
      <c r="P135" s="157">
        <f t="shared" si="14"/>
        <v>8765.9386833170011</v>
      </c>
      <c r="Q135" s="157">
        <f t="shared" si="14"/>
        <v>8951.5331080135747</v>
      </c>
      <c r="R135" s="157">
        <f t="shared" si="14"/>
        <v>9141.0569795980209</v>
      </c>
      <c r="S135" s="157">
        <f t="shared" si="14"/>
        <v>9334.5934932033306</v>
      </c>
      <c r="T135" s="157">
        <f t="shared" si="14"/>
        <v>9532.2276053885525</v>
      </c>
      <c r="U135" s="157">
        <f t="shared" si="14"/>
        <v>9734.0460714321052</v>
      </c>
      <c r="V135" s="157">
        <f t="shared" si="14"/>
        <v>9940.13748341467</v>
      </c>
      <c r="W135" s="157">
        <f t="shared" si="14"/>
        <v>10150.592309108375</v>
      </c>
      <c r="X135" s="157">
        <f t="shared" si="14"/>
        <v>10365.502931689363</v>
      </c>
      <c r="Y135" s="157">
        <f t="shared" si="14"/>
        <v>10584.963690291153</v>
      </c>
      <c r="Z135" s="157">
        <f t="shared" si="14"/>
        <v>10809.070921416607</v>
      </c>
      <c r="AA135" s="157">
        <f t="shared" si="14"/>
        <v>11037.923001226694</v>
      </c>
      <c r="AB135" s="157">
        <f t="shared" si="14"/>
        <v>11271.620388724568</v>
      </c>
      <c r="AC135" s="157">
        <f t="shared" si="14"/>
        <v>11510.265669853996</v>
      </c>
      <c r="AD135" s="157">
        <f t="shared" si="14"/>
        <v>11753.963602531401</v>
      </c>
      <c r="AE135" s="157">
        <f t="shared" si="14"/>
        <v>12002.821162631379</v>
      </c>
      <c r="AF135" s="157">
        <f t="shared" si="14"/>
        <v>12256.947590945781</v>
      </c>
      <c r="AG135" s="157">
        <f t="shared" si="14"/>
        <v>12516.454441137081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0.6</v>
      </c>
      <c r="F4" s="65">
        <v>0.52</v>
      </c>
      <c r="G4" s="65">
        <v>0.52</v>
      </c>
      <c r="H4" s="65">
        <v>0.28000000000000003</v>
      </c>
      <c r="I4" s="65">
        <v>0.15</v>
      </c>
      <c r="J4" s="65">
        <v>0.11</v>
      </c>
      <c r="K4" s="65">
        <v>0.08</v>
      </c>
      <c r="L4" s="65">
        <v>7.0000000000000007E-2</v>
      </c>
      <c r="M4" s="65">
        <v>0.05</v>
      </c>
      <c r="N4" s="65">
        <v>0.05</v>
      </c>
      <c r="O4" s="65">
        <v>0.05</v>
      </c>
      <c r="P4" s="65">
        <v>0.05</v>
      </c>
      <c r="Q4" s="65">
        <v>0.04</v>
      </c>
      <c r="R4" s="65">
        <v>0.04</v>
      </c>
      <c r="S4" s="65">
        <v>0.04</v>
      </c>
      <c r="T4" s="65">
        <v>0.04</v>
      </c>
      <c r="U4" s="65">
        <v>0.03</v>
      </c>
      <c r="V4" s="65">
        <v>0.03</v>
      </c>
      <c r="W4" s="65">
        <v>0.03</v>
      </c>
      <c r="X4" s="65">
        <v>0.03</v>
      </c>
      <c r="Y4" s="65">
        <v>0.03</v>
      </c>
      <c r="Z4" s="65">
        <v>0.03</v>
      </c>
      <c r="AA4" s="65">
        <v>0.03</v>
      </c>
      <c r="AB4" s="65">
        <v>0.03</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2.5093638081027749</v>
      </c>
      <c r="C6" s="25"/>
      <c r="D6" s="25"/>
      <c r="E6" s="27">
        <f>'Debt worksheet'!C5/'Profit and Loss'!C5</f>
        <v>1.1388388422252926</v>
      </c>
      <c r="F6" s="28">
        <f ca="1">'Debt worksheet'!D5/'Profit and Loss'!D5</f>
        <v>2.3831216365075076</v>
      </c>
      <c r="G6" s="28">
        <f ca="1">'Debt worksheet'!E5/'Profit and Loss'!E5</f>
        <v>2.5093638081027749</v>
      </c>
      <c r="H6" s="28">
        <f ca="1">'Debt worksheet'!F5/'Profit and Loss'!F5</f>
        <v>2.4981279178485747</v>
      </c>
      <c r="I6" s="28">
        <f ca="1">'Debt worksheet'!G5/'Profit and Loss'!G5</f>
        <v>2.5086387980442031</v>
      </c>
      <c r="J6" s="28">
        <f ca="1">'Debt worksheet'!H5/'Profit and Loss'!H5</f>
        <v>2.4983074241794392</v>
      </c>
      <c r="K6" s="28">
        <f ca="1">'Debt worksheet'!I5/'Profit and Loss'!I5</f>
        <v>2.4908393777120872</v>
      </c>
      <c r="L6" s="28">
        <f ca="1">'Debt worksheet'!J5/'Profit and Loss'!J5</f>
        <v>2.4703058984493484</v>
      </c>
      <c r="M6" s="28">
        <f ca="1">'Debt worksheet'!K5/'Profit and Loss'!K5</f>
        <v>2.4696911965920001</v>
      </c>
      <c r="N6" s="28">
        <f ca="1">'Debt worksheet'!L5/'Profit and Loss'!L5</f>
        <v>2.4601851310635103</v>
      </c>
      <c r="O6" s="28">
        <f ca="1">'Debt worksheet'!M5/'Profit and Loss'!M5</f>
        <v>2.4409928741393472</v>
      </c>
      <c r="P6" s="28">
        <f ca="1">'Debt worksheet'!N5/'Profit and Loss'!N5</f>
        <v>2.4114558228273508</v>
      </c>
      <c r="Q6" s="28">
        <f ca="1">'Debt worksheet'!O5/'Profit and Loss'!O5</f>
        <v>2.3938380293075352</v>
      </c>
      <c r="R6" s="28">
        <f ca="1">'Debt worksheet'!P5/'Profit and Loss'!P5</f>
        <v>2.3735217802175526</v>
      </c>
      <c r="S6" s="28">
        <f ca="1">'Debt worksheet'!Q5/'Profit and Loss'!Q5</f>
        <v>2.3497003222427288</v>
      </c>
      <c r="T6" s="28">
        <f ca="1">'Debt worksheet'!R5/'Profit and Loss'!R5</f>
        <v>2.3216485920596641</v>
      </c>
      <c r="U6" s="28">
        <f ca="1">'Debt worksheet'!S5/'Profit and Loss'!S5</f>
        <v>2.3109385446369783</v>
      </c>
      <c r="V6" s="28">
        <f ca="1">'Debt worksheet'!T5/'Profit and Loss'!T5</f>
        <v>2.3038045681221293</v>
      </c>
      <c r="W6" s="28">
        <f ca="1">'Debt worksheet'!U5/'Profit and Loss'!U5</f>
        <v>2.2995036297882558</v>
      </c>
      <c r="X6" s="28">
        <f ca="1">'Debt worksheet'!V5/'Profit and Loss'!V5</f>
        <v>2.2973354999646678</v>
      </c>
      <c r="Y6" s="28">
        <f ca="1">'Debt worksheet'!W5/'Profit and Loss'!W5</f>
        <v>2.2966409338189959</v>
      </c>
      <c r="Z6" s="28">
        <f ca="1">'Debt worksheet'!X5/'Profit and Loss'!X5</f>
        <v>2.2967999208414298</v>
      </c>
      <c r="AA6" s="28">
        <f ca="1">'Debt worksheet'!Y5/'Profit and Loss'!Y5</f>
        <v>2.2972299996766941</v>
      </c>
      <c r="AB6" s="28">
        <f ca="1">'Debt worksheet'!Z5/'Profit and Loss'!Z5</f>
        <v>2.29738463602812</v>
      </c>
      <c r="AC6" s="28">
        <f ca="1">'Debt worksheet'!AA5/'Profit and Loss'!AA5</f>
        <v>2.3147301480208951</v>
      </c>
      <c r="AD6" s="28">
        <f ca="1">'Debt worksheet'!AB5/'Profit and Loss'!AB5</f>
        <v>2.3386921361762716</v>
      </c>
      <c r="AE6" s="28">
        <f ca="1">'Debt worksheet'!AC5/'Profit and Loss'!AC5</f>
        <v>2.3687888420506953</v>
      </c>
      <c r="AF6" s="28">
        <f ca="1">'Debt worksheet'!AD5/'Profit and Loss'!AD5</f>
        <v>2.4045550976224872</v>
      </c>
      <c r="AG6" s="28">
        <f ca="1">'Debt worksheet'!AE5/'Profit and Loss'!AE5</f>
        <v>2.4455418598434089</v>
      </c>
      <c r="AH6" s="28">
        <f ca="1">'Debt worksheet'!AF5/'Profit and Loss'!AF5</f>
        <v>2.4913157572350451</v>
      </c>
      <c r="AI6" s="31"/>
    </row>
    <row r="7" spans="1:35" ht="21" x14ac:dyDescent="0.5">
      <c r="A7" s="19" t="s">
        <v>39</v>
      </c>
      <c r="B7" s="26">
        <f ca="1">MIN('Price and Financial ratios'!E7:AH7)</f>
        <v>0.23035772477045446</v>
      </c>
      <c r="C7" s="26"/>
      <c r="D7" s="26"/>
      <c r="E7" s="56">
        <f ca="1">'Cash Flow'!C7/'Debt worksheet'!C5</f>
        <v>0.41865896153952414</v>
      </c>
      <c r="F7" s="32">
        <f ca="1">'Cash Flow'!D7/'Debt worksheet'!D5</f>
        <v>0.23035772477045446</v>
      </c>
      <c r="G7" s="32">
        <f ca="1">'Cash Flow'!E7/'Debt worksheet'!E5</f>
        <v>0.25581490134018742</v>
      </c>
      <c r="H7" s="32">
        <f ca="1">'Cash Flow'!F7/'Debt worksheet'!F5</f>
        <v>0.27125800081176665</v>
      </c>
      <c r="I7" s="32">
        <f ca="1">'Cash Flow'!G7/'Debt worksheet'!G5</f>
        <v>0.27309868035619511</v>
      </c>
      <c r="J7" s="32">
        <f ca="1">'Cash Flow'!H7/'Debt worksheet'!H5</f>
        <v>0.27488373499150437</v>
      </c>
      <c r="K7" s="32">
        <f ca="1">'Cash Flow'!I7/'Debt worksheet'!I5</f>
        <v>0.27436520859960362</v>
      </c>
      <c r="L7" s="32">
        <f ca="1">'Cash Flow'!J7/'Debt worksheet'!J5</f>
        <v>0.27524148357883577</v>
      </c>
      <c r="M7" s="17">
        <f ca="1">'Cash Flow'!K7/'Debt worksheet'!K5</f>
        <v>0.27218069837539882</v>
      </c>
      <c r="N7" s="17">
        <f ca="1">'Cash Flow'!L7/'Debt worksheet'!L5</f>
        <v>0.27073555053002107</v>
      </c>
      <c r="O7" s="17">
        <f ca="1">'Cash Flow'!M7/'Debt worksheet'!M5</f>
        <v>0.27096819355086238</v>
      </c>
      <c r="P7" s="17">
        <f ca="1">'Cash Flow'!N7/'Debt worksheet'!N5</f>
        <v>0.27296718777247247</v>
      </c>
      <c r="Q7" s="17">
        <f ca="1">'Cash Flow'!O7/'Debt worksheet'!O5</f>
        <v>0.27269605266402319</v>
      </c>
      <c r="R7" s="17">
        <f ca="1">'Cash Flow'!P7/'Debt worksheet'!P5</f>
        <v>0.27312075802326652</v>
      </c>
      <c r="S7" s="17">
        <f ca="1">'Cash Flow'!Q7/'Debt worksheet'!Q5</f>
        <v>0.27434490955038798</v>
      </c>
      <c r="T7" s="17">
        <f ca="1">'Cash Flow'!R7/'Debt worksheet'!R5</f>
        <v>0.27647471205252139</v>
      </c>
      <c r="U7" s="17">
        <f ca="1">'Cash Flow'!S7/'Debt worksheet'!S5</f>
        <v>0.27527044507025328</v>
      </c>
      <c r="V7" s="17">
        <f ca="1">'Cash Flow'!T7/'Debt worksheet'!T5</f>
        <v>0.2738142756580571</v>
      </c>
      <c r="W7" s="17">
        <f ca="1">'Cash Flow'!U7/'Debt worksheet'!U5</f>
        <v>0.2721989275276544</v>
      </c>
      <c r="X7" s="17">
        <f ca="1">'Cash Flow'!V7/'Debt worksheet'!V5</f>
        <v>0.27051203156353465</v>
      </c>
      <c r="Y7" s="17">
        <f ca="1">'Cash Flow'!W7/'Debt worksheet'!W5</f>
        <v>0.26883513885848348</v>
      </c>
      <c r="Z7" s="17">
        <f ca="1">'Cash Flow'!X7/'Debt worksheet'!X5</f>
        <v>0.2672433135381031</v>
      </c>
      <c r="AA7" s="17">
        <f ca="1">'Cash Flow'!Y7/'Debt worksheet'!Y5</f>
        <v>0.26580520548020603</v>
      </c>
      <c r="AB7" s="17">
        <f ca="1">'Cash Flow'!Z7/'Debt worksheet'!Z5</f>
        <v>0.26458350130194735</v>
      </c>
      <c r="AC7" s="17">
        <f ca="1">'Cash Flow'!AA7/'Debt worksheet'!AA5</f>
        <v>0.26013127933947167</v>
      </c>
      <c r="AD7" s="17">
        <f ca="1">'Cash Flow'!AB7/'Debt worksheet'!AB5</f>
        <v>0.25505610531753359</v>
      </c>
      <c r="AE7" s="17">
        <f ca="1">'Cash Flow'!AC7/'Debt worksheet'!AC5</f>
        <v>0.24947284793108926</v>
      </c>
      <c r="AF7" s="17">
        <f ca="1">'Cash Flow'!AD7/'Debt worksheet'!AD5</f>
        <v>0.24349296613020097</v>
      </c>
      <c r="AG7" s="17">
        <f ca="1">'Cash Flow'!AE7/'Debt worksheet'!AE5</f>
        <v>0.23722139947103632</v>
      </c>
      <c r="AH7" s="17">
        <f ca="1">'Cash Flow'!AF7/'Debt worksheet'!AF5</f>
        <v>0.23075435173915743</v>
      </c>
      <c r="AI7" s="29"/>
    </row>
    <row r="8" spans="1:35" ht="21" x14ac:dyDescent="0.5">
      <c r="A8" s="19" t="s">
        <v>34</v>
      </c>
      <c r="B8" s="26">
        <f ca="1">MAX('Price and Financial ratios'!E8:AH8)</f>
        <v>0.4854982842808388</v>
      </c>
      <c r="C8" s="26"/>
      <c r="D8" s="176"/>
      <c r="E8" s="17">
        <f>'Balance Sheet'!B11/'Balance Sheet'!B8</f>
        <v>0.10295063282968663</v>
      </c>
      <c r="F8" s="17">
        <f ca="1">'Balance Sheet'!C11/'Balance Sheet'!C8</f>
        <v>0.33527743741694405</v>
      </c>
      <c r="G8" s="17">
        <f ca="1">'Balance Sheet'!D11/'Balance Sheet'!D8</f>
        <v>0.44314872091385377</v>
      </c>
      <c r="H8" s="17">
        <f ca="1">'Balance Sheet'!E11/'Balance Sheet'!E8</f>
        <v>0.48163448656362468</v>
      </c>
      <c r="I8" s="17">
        <f ca="1">'Balance Sheet'!F11/'Balance Sheet'!F8</f>
        <v>0.4854982842808388</v>
      </c>
      <c r="J8" s="17">
        <f ca="1">'Balance Sheet'!G11/'Balance Sheet'!G8</f>
        <v>0.47666278621437885</v>
      </c>
      <c r="K8" s="17">
        <f ca="1">'Balance Sheet'!H11/'Balance Sheet'!H8</f>
        <v>0.46206293037961776</v>
      </c>
      <c r="L8" s="17">
        <f ca="1">'Balance Sheet'!I11/'Balance Sheet'!I8</f>
        <v>0.44622828387811136</v>
      </c>
      <c r="M8" s="17">
        <f ca="1">'Balance Sheet'!J11/'Balance Sheet'!J8</f>
        <v>0.43008238051764486</v>
      </c>
      <c r="N8" s="17">
        <f ca="1">'Balance Sheet'!K11/'Balance Sheet'!K8</f>
        <v>0.4160861718294615</v>
      </c>
      <c r="O8" s="17">
        <f ca="1">'Balance Sheet'!L11/'Balance Sheet'!L8</f>
        <v>0.40345717746893295</v>
      </c>
      <c r="P8" s="17">
        <f ca="1">'Balance Sheet'!M11/'Balance Sheet'!M8</f>
        <v>0.3916022726151247</v>
      </c>
      <c r="Q8" s="17">
        <f ca="1">'Balance Sheet'!N11/'Balance Sheet'!N8</f>
        <v>0.38005568766387299</v>
      </c>
      <c r="R8" s="17">
        <f ca="1">'Balance Sheet'!O11/'Balance Sheet'!O8</f>
        <v>0.36990153116020891</v>
      </c>
      <c r="S8" s="17">
        <f ca="1">'Balance Sheet'!P11/'Balance Sheet'!P8</f>
        <v>0.36073685437040726</v>
      </c>
      <c r="T8" s="17">
        <f ca="1">'Balance Sheet'!Q11/'Balance Sheet'!Q8</f>
        <v>0.35223288737258562</v>
      </c>
      <c r="U8" s="17">
        <f ca="1">'Balance Sheet'!R11/'Balance Sheet'!R8</f>
        <v>0.34411556671549093</v>
      </c>
      <c r="V8" s="17">
        <f ca="1">'Balance Sheet'!S11/'Balance Sheet'!S8</f>
        <v>0.33755322398459037</v>
      </c>
      <c r="W8" s="17">
        <f ca="1">'Balance Sheet'!T11/'Balance Sheet'!T8</f>
        <v>0.33227860949413085</v>
      </c>
      <c r="X8" s="17">
        <f ca="1">'Balance Sheet'!U11/'Balance Sheet'!U8</f>
        <v>0.32806708765284442</v>
      </c>
      <c r="Y8" s="17">
        <f ca="1">'Balance Sheet'!V11/'Balance Sheet'!V8</f>
        <v>0.32472743360096556</v>
      </c>
      <c r="Z8" s="17">
        <f ca="1">'Balance Sheet'!W11/'Balance Sheet'!W8</f>
        <v>0.32209487039403667</v>
      </c>
      <c r="AA8" s="17">
        <f ca="1">'Balance Sheet'!X11/'Balance Sheet'!X8</f>
        <v>0.32002573410618335</v>
      </c>
      <c r="AB8" s="17">
        <f ca="1">'Balance Sheet'!Y11/'Balance Sheet'!Y8</f>
        <v>0.31839333844886752</v>
      </c>
      <c r="AC8" s="17">
        <f ca="1">'Balance Sheet'!Z11/'Balance Sheet'!Z8</f>
        <v>0.31708473465896936</v>
      </c>
      <c r="AD8" s="17">
        <f ca="1">'Balance Sheet'!AA11/'Balance Sheet'!AA8</f>
        <v>0.31705185271393665</v>
      </c>
      <c r="AE8" s="17">
        <f ca="1">'Balance Sheet'!AB11/'Balance Sheet'!AB8</f>
        <v>0.31817372385310611</v>
      </c>
      <c r="AF8" s="17">
        <f ca="1">'Balance Sheet'!AC11/'Balance Sheet'!AC8</f>
        <v>0.32034404696758534</v>
      </c>
      <c r="AG8" s="17">
        <f ca="1">'Balance Sheet'!AD11/'Balance Sheet'!AD8</f>
        <v>0.32346882398226473</v>
      </c>
      <c r="AH8" s="17">
        <f ca="1">'Balance Sheet'!AE11/'Balance Sheet'!AE8</f>
        <v>0.32746442993561048</v>
      </c>
      <c r="AI8" s="29"/>
    </row>
    <row r="9" spans="1:35" ht="21.5" thickBot="1" x14ac:dyDescent="0.55000000000000004">
      <c r="A9" s="20" t="s">
        <v>33</v>
      </c>
      <c r="B9" s="21">
        <f ca="1">MIN('Price and Financial ratios'!E9:AH9)</f>
        <v>4.6826956368425359</v>
      </c>
      <c r="C9" s="21"/>
      <c r="D9" s="177"/>
      <c r="E9" s="21">
        <f ca="1">('Cash Flow'!C7+'Profit and Loss'!C8)/('Profit and Loss'!C8)</f>
        <v>4.6826956368425359</v>
      </c>
      <c r="F9" s="21">
        <f ca="1">('Cash Flow'!D7+'Profit and Loss'!D8)/('Profit and Loss'!D8)</f>
        <v>5.0269360606480209</v>
      </c>
      <c r="G9" s="21">
        <f ca="1">('Cash Flow'!E7+'Profit and Loss'!E8)/('Profit and Loss'!E8)</f>
        <v>6.6169141756971488</v>
      </c>
      <c r="H9" s="21">
        <f ca="1">('Cash Flow'!F7+'Profit and Loss'!F8)/('Profit and Loss'!F8)</f>
        <v>7.5719494811974313</v>
      </c>
      <c r="I9" s="21">
        <f ca="1">('Cash Flow'!G7+'Profit and Loss'!G8)/('Profit and Loss'!G8)</f>
        <v>7.9122882560988286</v>
      </c>
      <c r="J9" s="21">
        <f ca="1">('Cash Flow'!H7+'Profit and Loss'!H8)/('Profit and Loss'!H8)</f>
        <v>8.1426341396589255</v>
      </c>
      <c r="K9" s="21">
        <f ca="1">('Cash Flow'!I7+'Profit and Loss'!I8)/('Profit and Loss'!I8)</f>
        <v>8.2339118231304376</v>
      </c>
      <c r="L9" s="21">
        <f ca="1">('Cash Flow'!J7+'Profit and Loss'!J8)/('Profit and Loss'!J8)</f>
        <v>8.3361066197854949</v>
      </c>
      <c r="M9" s="21">
        <f ca="1">('Cash Flow'!K7+'Profit and Loss'!K8)/('Profit and Loss'!K8)</f>
        <v>8.280745511762591</v>
      </c>
      <c r="N9" s="21">
        <f ca="1">('Cash Flow'!L7+'Profit and Loss'!L8)/('Profit and Loss'!L8)</f>
        <v>8.2709344219411136</v>
      </c>
      <c r="O9" s="21">
        <f ca="1">('Cash Flow'!M7+'Profit and Loss'!M8)/('Profit and Loss'!M8)</f>
        <v>8.3088522105000404</v>
      </c>
      <c r="P9" s="21">
        <f ca="1">('Cash Flow'!N7+'Profit and Loss'!N8)/('Profit and Loss'!N8)</f>
        <v>8.3976642435212767</v>
      </c>
      <c r="Q9" s="21">
        <f ca="1">('Cash Flow'!O7+'Profit and Loss'!O8)/('Profit and Loss'!O8)</f>
        <v>8.3991190451205249</v>
      </c>
      <c r="R9" s="21">
        <f ca="1">('Cash Flow'!P7+'Profit and Loss'!P8)/('Profit and Loss'!P8)</f>
        <v>8.4222414232490888</v>
      </c>
      <c r="S9" s="21">
        <f ca="1">('Cash Flow'!Q7+'Profit and Loss'!Q8)/('Profit and Loss'!Q8)</f>
        <v>8.4698609975194064</v>
      </c>
      <c r="T9" s="21">
        <f ca="1">('Cash Flow'!R7+'Profit and Loss'!R8)/('Profit and Loss'!R8)</f>
        <v>8.5449999321285794</v>
      </c>
      <c r="U9" s="21">
        <f ca="1">('Cash Flow'!S7+'Profit and Loss'!S8)/('Profit and Loss'!S8)</f>
        <v>8.5006358868581806</v>
      </c>
      <c r="V9" s="21">
        <f ca="1">('Cash Flow'!T7+'Profit and Loss'!T8)/('Profit and Loss'!T8)</f>
        <v>8.4518372234794246</v>
      </c>
      <c r="W9" s="21">
        <f ca="1">('Cash Flow'!U7+'Profit and Loss'!U8)/('Profit and Loss'!U8)</f>
        <v>8.4010241731236395</v>
      </c>
      <c r="X9" s="21">
        <f ca="1">('Cash Flow'!V7+'Profit and Loss'!V8)/('Profit and Loss'!V8)</f>
        <v>8.3504452257839805</v>
      </c>
      <c r="Y9" s="21">
        <f ca="1">('Cash Flow'!W7+'Profit and Loss'!W8)/('Profit and Loss'!W8)</f>
        <v>8.3021661012312347</v>
      </c>
      <c r="Z9" s="21">
        <f ca="1">('Cash Flow'!X7+'Profit and Loss'!X8)/('Profit and Loss'!X8)</f>
        <v>8.2580719729323651</v>
      </c>
      <c r="AA9" s="21">
        <f ca="1">('Cash Flow'!Y7+'Profit and Loss'!Y8)/('Profit and Loss'!Y8)</f>
        <v>8.2198801070505514</v>
      </c>
      <c r="AB9" s="21">
        <f ca="1">('Cash Flow'!Z7+'Profit and Loss'!Z8)/('Profit and Loss'!Z8)</f>
        <v>8.1891603365662373</v>
      </c>
      <c r="AC9" s="21">
        <f ca="1">('Cash Flow'!AA7+'Profit and Loss'!AA8)/('Profit and Loss'!AA8)</f>
        <v>8.0485852325491241</v>
      </c>
      <c r="AD9" s="21">
        <f ca="1">('Cash Flow'!AB7+'Profit and Loss'!AB8)/('Profit and Loss'!AB8)</f>
        <v>7.8938923339672558</v>
      </c>
      <c r="AE9" s="21">
        <f ca="1">('Cash Flow'!AC7+'Profit and Loss'!AC8)/('Profit and Loss'!AC8)</f>
        <v>7.7281701633827851</v>
      </c>
      <c r="AF9" s="21">
        <f ca="1">('Cash Flow'!AD7+'Profit and Loss'!AD8)/('Profit and Loss'!AD8)</f>
        <v>7.5543272000974504</v>
      </c>
      <c r="AG9" s="21">
        <f ca="1">('Cash Flow'!AE7+'Profit and Loss'!AE8)/('Profit and Loss'!AE8)</f>
        <v>7.3750303370378401</v>
      </c>
      <c r="AH9" s="21">
        <f ca="1">('Cash Flow'!AF7+'Profit and Loss'!AF8)/('Profit and Loss'!AF8)</f>
        <v>7.19266651557811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5884471.087068093</v>
      </c>
      <c r="D5" s="1">
        <f>Assumptions!E111</f>
        <v>5884471.087068093</v>
      </c>
      <c r="E5" s="1">
        <f>Assumptions!F111</f>
        <v>5884471.087068093</v>
      </c>
      <c r="F5" s="1">
        <f>Assumptions!G111</f>
        <v>5884471.087068093</v>
      </c>
      <c r="G5" s="1">
        <f>Assumptions!H111</f>
        <v>5884471.087068093</v>
      </c>
      <c r="H5" s="1">
        <f>Assumptions!I111</f>
        <v>5884471.087068093</v>
      </c>
      <c r="I5" s="1">
        <f>Assumptions!J111</f>
        <v>5884471.087068093</v>
      </c>
      <c r="J5" s="1">
        <f>Assumptions!K111</f>
        <v>5884471.087068093</v>
      </c>
      <c r="K5" s="1">
        <f>Assumptions!L111</f>
        <v>5884471.087068093</v>
      </c>
      <c r="L5" s="1">
        <f>Assumptions!M111</f>
        <v>5884471.087068093</v>
      </c>
      <c r="M5" s="1">
        <f>Assumptions!N111</f>
        <v>5884471.087068093</v>
      </c>
      <c r="N5" s="1">
        <f>Assumptions!O111</f>
        <v>5884471.087068093</v>
      </c>
      <c r="O5" s="1">
        <f>Assumptions!P111</f>
        <v>5884471.087068093</v>
      </c>
      <c r="P5" s="1">
        <f>Assumptions!Q111</f>
        <v>5884471.087068093</v>
      </c>
      <c r="Q5" s="1">
        <f>Assumptions!R111</f>
        <v>5884471.087068093</v>
      </c>
      <c r="R5" s="1">
        <f>Assumptions!S111</f>
        <v>5884471.087068093</v>
      </c>
      <c r="S5" s="1">
        <f>Assumptions!T111</f>
        <v>5884471.087068093</v>
      </c>
      <c r="T5" s="1">
        <f>Assumptions!U111</f>
        <v>5884471.087068093</v>
      </c>
      <c r="U5" s="1">
        <f>Assumptions!V111</f>
        <v>5884471.087068093</v>
      </c>
      <c r="V5" s="1">
        <f>Assumptions!W111</f>
        <v>5884471.087068093</v>
      </c>
      <c r="W5" s="1">
        <f>Assumptions!X111</f>
        <v>5884471.087068093</v>
      </c>
      <c r="X5" s="1">
        <f>Assumptions!Y111</f>
        <v>5884471.087068093</v>
      </c>
      <c r="Y5" s="1">
        <f>Assumptions!Z111</f>
        <v>5884471.087068093</v>
      </c>
      <c r="Z5" s="1">
        <f>Assumptions!AA111</f>
        <v>5884471.087068093</v>
      </c>
      <c r="AA5" s="1">
        <f>Assumptions!AB111</f>
        <v>5884471.087068093</v>
      </c>
      <c r="AB5" s="1">
        <f>Assumptions!AC111</f>
        <v>5884471.087068093</v>
      </c>
      <c r="AC5" s="1">
        <f>Assumptions!AD111</f>
        <v>5884471.087068093</v>
      </c>
      <c r="AD5" s="1">
        <f>Assumptions!AE111</f>
        <v>5884471.087068093</v>
      </c>
      <c r="AE5" s="1">
        <f>Assumptions!AF111</f>
        <v>5884471.087068093</v>
      </c>
      <c r="AF5" s="1">
        <f>Assumptions!AG111</f>
        <v>5884471.087068093</v>
      </c>
    </row>
    <row r="6" spans="1:32" x14ac:dyDescent="0.35">
      <c r="A6" t="s">
        <v>69</v>
      </c>
      <c r="C6" s="1">
        <f>Assumptions!D113</f>
        <v>42058333.333333336</v>
      </c>
      <c r="D6" s="1">
        <f>Assumptions!E113</f>
        <v>42058333.333333336</v>
      </c>
      <c r="E6" s="1">
        <f>Assumptions!F113</f>
        <v>42058333.333333336</v>
      </c>
      <c r="F6" s="1">
        <f>Assumptions!G113</f>
        <v>42058333.333333336</v>
      </c>
      <c r="G6" s="1">
        <f>Assumptions!H113</f>
        <v>42058333.333333336</v>
      </c>
      <c r="H6" s="1">
        <f>Assumptions!I113</f>
        <v>42058333.333333336</v>
      </c>
      <c r="I6" s="1">
        <f>Assumptions!J113</f>
        <v>42058333.333333336</v>
      </c>
      <c r="J6" s="1">
        <f>Assumptions!K113</f>
        <v>42058333.333333336</v>
      </c>
      <c r="K6" s="1">
        <f>Assumptions!L113</f>
        <v>42058333.333333336</v>
      </c>
      <c r="L6" s="1">
        <f>Assumptions!M113</f>
        <v>42058333.333333336</v>
      </c>
      <c r="M6" s="1">
        <f>Assumptions!N113</f>
        <v>42058333.333333336</v>
      </c>
      <c r="N6" s="1">
        <f>Assumptions!O113</f>
        <v>42058333.333333336</v>
      </c>
      <c r="O6" s="1">
        <f>Assumptions!P113</f>
        <v>42058333.333333336</v>
      </c>
      <c r="P6" s="1">
        <f>Assumptions!Q113</f>
        <v>42058333.333333336</v>
      </c>
      <c r="Q6" s="1">
        <f>Assumptions!R113</f>
        <v>42058333.333333336</v>
      </c>
      <c r="R6" s="1">
        <f>Assumptions!S113</f>
        <v>42058333.333333336</v>
      </c>
      <c r="S6" s="1">
        <f>Assumptions!T113</f>
        <v>42058333.333333336</v>
      </c>
      <c r="T6" s="1">
        <f>Assumptions!U113</f>
        <v>42058333.333333336</v>
      </c>
      <c r="U6" s="1">
        <f>Assumptions!V113</f>
        <v>42058333.333333336</v>
      </c>
      <c r="V6" s="1">
        <f>Assumptions!W113</f>
        <v>42058333.333333336</v>
      </c>
      <c r="W6" s="1">
        <f>Assumptions!X113</f>
        <v>42058333.333333336</v>
      </c>
      <c r="X6" s="1">
        <f>Assumptions!Y113</f>
        <v>42058333.333333336</v>
      </c>
      <c r="Y6" s="1">
        <f>Assumptions!Z113</f>
        <v>42058333.333333336</v>
      </c>
      <c r="Z6" s="1">
        <f>Assumptions!AA113</f>
        <v>42058333.333333336</v>
      </c>
      <c r="AA6" s="1">
        <f>Assumptions!AB113</f>
        <v>42058333.333333336</v>
      </c>
      <c r="AB6" s="1">
        <f>Assumptions!AC113</f>
        <v>42058333.333333336</v>
      </c>
      <c r="AC6" s="1">
        <f>Assumptions!AD113</f>
        <v>42058333.333333336</v>
      </c>
      <c r="AD6" s="1">
        <f>Assumptions!AE113</f>
        <v>42058333.333333336</v>
      </c>
      <c r="AE6" s="1">
        <f>Assumptions!AF113</f>
        <v>42058333.333333336</v>
      </c>
      <c r="AF6" s="1">
        <f>Assumptions!AG113</f>
        <v>42058333.333333336</v>
      </c>
    </row>
    <row r="7" spans="1:32" x14ac:dyDescent="0.35">
      <c r="A7" t="s">
        <v>74</v>
      </c>
      <c r="C7" s="1">
        <f>Assumptions!D120</f>
        <v>1009400</v>
      </c>
      <c r="D7" s="1">
        <f>Assumptions!E120</f>
        <v>2018800</v>
      </c>
      <c r="E7" s="1">
        <f>Assumptions!F120</f>
        <v>3028200</v>
      </c>
      <c r="F7" s="1">
        <f>Assumptions!G120</f>
        <v>4037600</v>
      </c>
      <c r="G7" s="1">
        <f>Assumptions!H120</f>
        <v>5047000</v>
      </c>
      <c r="H7" s="1">
        <f>Assumptions!I120</f>
        <v>6056400</v>
      </c>
      <c r="I7" s="1">
        <f>Assumptions!J120</f>
        <v>7065800.0000000019</v>
      </c>
      <c r="J7" s="1">
        <f>Assumptions!K120</f>
        <v>8075200</v>
      </c>
      <c r="K7" s="1">
        <f>Assumptions!L120</f>
        <v>9084600</v>
      </c>
      <c r="L7" s="1">
        <f>Assumptions!M120</f>
        <v>10094000</v>
      </c>
      <c r="M7" s="1">
        <f>Assumptions!N120</f>
        <v>11103399.999999998</v>
      </c>
      <c r="N7" s="1">
        <f>Assumptions!O120</f>
        <v>12112799.999999998</v>
      </c>
      <c r="O7" s="1">
        <f>Assumptions!P120</f>
        <v>13122199.999999996</v>
      </c>
      <c r="P7" s="1">
        <f>Assumptions!Q120</f>
        <v>14131599.999999998</v>
      </c>
      <c r="Q7" s="1">
        <f>Assumptions!R120</f>
        <v>15141000</v>
      </c>
      <c r="R7" s="1">
        <f>Assumptions!S120</f>
        <v>16150400</v>
      </c>
      <c r="S7" s="1">
        <f>Assumptions!T120</f>
        <v>17159800.000000004</v>
      </c>
      <c r="T7" s="1">
        <f>Assumptions!U120</f>
        <v>18169200.000000004</v>
      </c>
      <c r="U7" s="1">
        <f>Assumptions!V120</f>
        <v>19178600.000000004</v>
      </c>
      <c r="V7" s="1">
        <f>Assumptions!W120</f>
        <v>20188000.000000004</v>
      </c>
      <c r="W7" s="1">
        <f>Assumptions!X120</f>
        <v>21197400.000000004</v>
      </c>
      <c r="X7" s="1">
        <f>Assumptions!Y120</f>
        <v>22206800.000000007</v>
      </c>
      <c r="Y7" s="1">
        <f>Assumptions!Z120</f>
        <v>23216200.000000004</v>
      </c>
      <c r="Z7" s="1">
        <f>Assumptions!AA120</f>
        <v>24225600.000000007</v>
      </c>
      <c r="AA7" s="1">
        <f>Assumptions!AB120</f>
        <v>25235000.000000011</v>
      </c>
      <c r="AB7" s="1">
        <f>Assumptions!AC120</f>
        <v>26244400.000000004</v>
      </c>
      <c r="AC7" s="1">
        <f>Assumptions!AD120</f>
        <v>27253800.000000004</v>
      </c>
      <c r="AD7" s="1">
        <f>Assumptions!AE120</f>
        <v>28263200.000000007</v>
      </c>
      <c r="AE7" s="1">
        <f>Assumptions!AF120</f>
        <v>29272600</v>
      </c>
      <c r="AF7" s="1">
        <f>Assumptions!AG120</f>
        <v>30282000</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6072774.1618542718</v>
      </c>
      <c r="D11" s="1">
        <f>D5*D$9</f>
        <v>6267102.9350336082</v>
      </c>
      <c r="E11" s="1">
        <f t="shared" ref="D11:AF13" si="1">E5*E$9</f>
        <v>6467650.228954684</v>
      </c>
      <c r="F11" s="1">
        <f t="shared" si="1"/>
        <v>6674615.0362812337</v>
      </c>
      <c r="G11" s="1">
        <f t="shared" si="1"/>
        <v>6888202.717442234</v>
      </c>
      <c r="H11" s="1">
        <f t="shared" si="1"/>
        <v>7108625.2044003839</v>
      </c>
      <c r="I11" s="1">
        <f t="shared" si="1"/>
        <v>7336101.2109411955</v>
      </c>
      <c r="J11" s="1">
        <f t="shared" si="1"/>
        <v>7570856.4496913152</v>
      </c>
      <c r="K11" s="1">
        <f t="shared" si="1"/>
        <v>7813123.8560814373</v>
      </c>
      <c r="L11" s="1">
        <f t="shared" si="1"/>
        <v>8063143.8194760429</v>
      </c>
      <c r="M11" s="1">
        <f t="shared" si="1"/>
        <v>8321164.4216992762</v>
      </c>
      <c r="N11" s="1">
        <f t="shared" si="1"/>
        <v>8587441.6831936538</v>
      </c>
      <c r="O11" s="1">
        <f t="shared" si="1"/>
        <v>8862239.8170558512</v>
      </c>
      <c r="P11" s="1">
        <f t="shared" si="1"/>
        <v>9145831.4912016373</v>
      </c>
      <c r="Q11" s="1">
        <f t="shared" si="1"/>
        <v>9438498.0989200864</v>
      </c>
      <c r="R11" s="1">
        <f t="shared" si="1"/>
        <v>9740530.0380855314</v>
      </c>
      <c r="S11" s="1">
        <f t="shared" si="1"/>
        <v>10052226.99930427</v>
      </c>
      <c r="T11" s="1">
        <f t="shared" si="1"/>
        <v>10373898.263282005</v>
      </c>
      <c r="U11" s="1">
        <f t="shared" si="1"/>
        <v>10705863.007707028</v>
      </c>
      <c r="V11" s="1">
        <f t="shared" si="1"/>
        <v>11048450.623953655</v>
      </c>
      <c r="W11" s="1">
        <f t="shared" si="1"/>
        <v>11402001.043920172</v>
      </c>
      <c r="X11" s="1">
        <f t="shared" si="1"/>
        <v>11766865.077325616</v>
      </c>
      <c r="Y11" s="1">
        <f t="shared" si="1"/>
        <v>12143404.759800036</v>
      </c>
      <c r="Z11" s="1">
        <f t="shared" si="1"/>
        <v>12531993.712113636</v>
      </c>
      <c r="AA11" s="1">
        <f t="shared" si="1"/>
        <v>12933017.510901276</v>
      </c>
      <c r="AB11" s="1">
        <f t="shared" si="1"/>
        <v>13346874.071250115</v>
      </c>
      <c r="AC11" s="1">
        <f t="shared" si="1"/>
        <v>13773974.041530117</v>
      </c>
      <c r="AD11" s="1">
        <f t="shared" si="1"/>
        <v>14214741.210859083</v>
      </c>
      <c r="AE11" s="1">
        <f t="shared" si="1"/>
        <v>14669612.929606574</v>
      </c>
      <c r="AF11" s="1">
        <f t="shared" si="1"/>
        <v>15139040.54335398</v>
      </c>
    </row>
    <row r="12" spans="1:32" x14ac:dyDescent="0.35">
      <c r="A12" t="s">
        <v>72</v>
      </c>
      <c r="C12" s="1">
        <f t="shared" ref="C12:R12" si="2">C6*C$9</f>
        <v>43404200.000000007</v>
      </c>
      <c r="D12" s="1">
        <f t="shared" si="2"/>
        <v>44793134.399999999</v>
      </c>
      <c r="E12" s="1">
        <f t="shared" si="2"/>
        <v>46226514.700800002</v>
      </c>
      <c r="F12" s="1">
        <f t="shared" si="2"/>
        <v>47705763.1712256</v>
      </c>
      <c r="G12" s="1">
        <f t="shared" si="2"/>
        <v>49232347.592704825</v>
      </c>
      <c r="H12" s="1">
        <f t="shared" si="2"/>
        <v>50807782.715671368</v>
      </c>
      <c r="I12" s="1">
        <f t="shared" si="2"/>
        <v>52433631.762572847</v>
      </c>
      <c r="J12" s="1">
        <f t="shared" si="2"/>
        <v>54111507.978975184</v>
      </c>
      <c r="K12" s="1">
        <f t="shared" si="2"/>
        <v>55843076.234302402</v>
      </c>
      <c r="L12" s="1">
        <f t="shared" si="2"/>
        <v>57630054.673800066</v>
      </c>
      <c r="M12" s="1">
        <f t="shared" si="2"/>
        <v>59474216.423361667</v>
      </c>
      <c r="N12" s="1">
        <f t="shared" si="2"/>
        <v>61377391.348909244</v>
      </c>
      <c r="O12" s="1">
        <f t="shared" si="2"/>
        <v>63341467.872074343</v>
      </c>
      <c r="P12" s="1">
        <f t="shared" si="2"/>
        <v>65368394.843980715</v>
      </c>
      <c r="Q12" s="1">
        <f t="shared" si="2"/>
        <v>67460183.478988081</v>
      </c>
      <c r="R12" s="1">
        <f t="shared" si="2"/>
        <v>69618909.35031572</v>
      </c>
      <c r="S12" s="1">
        <f t="shared" si="1"/>
        <v>71846714.449525833</v>
      </c>
      <c r="T12" s="1">
        <f t="shared" si="1"/>
        <v>74145809.311910644</v>
      </c>
      <c r="U12" s="1">
        <f t="shared" si="1"/>
        <v>76518475.209891781</v>
      </c>
      <c r="V12" s="1">
        <f t="shared" si="1"/>
        <v>78967066.416608319</v>
      </c>
      <c r="W12" s="1">
        <f t="shared" si="1"/>
        <v>81494012.541939795</v>
      </c>
      <c r="X12" s="1">
        <f t="shared" si="1"/>
        <v>84101820.943281859</v>
      </c>
      <c r="Y12" s="1">
        <f t="shared" si="1"/>
        <v>86793079.213466868</v>
      </c>
      <c r="Z12" s="1">
        <f t="shared" si="1"/>
        <v>89570457.748297811</v>
      </c>
      <c r="AA12" s="1">
        <f t="shared" si="1"/>
        <v>92436712.396243364</v>
      </c>
      <c r="AB12" s="1">
        <f t="shared" si="1"/>
        <v>95394687.192923129</v>
      </c>
      <c r="AC12" s="1">
        <f t="shared" si="1"/>
        <v>98447317.183096662</v>
      </c>
      <c r="AD12" s="1">
        <f t="shared" si="1"/>
        <v>101597631.33295578</v>
      </c>
      <c r="AE12" s="1">
        <f t="shared" si="1"/>
        <v>104848755.53561036</v>
      </c>
      <c r="AF12" s="1">
        <f t="shared" si="1"/>
        <v>108203915.71274987</v>
      </c>
    </row>
    <row r="13" spans="1:32" x14ac:dyDescent="0.35">
      <c r="A13" t="s">
        <v>75</v>
      </c>
      <c r="C13" s="1">
        <f>C7*C$9</f>
        <v>1041700.8</v>
      </c>
      <c r="D13" s="1">
        <f t="shared" si="1"/>
        <v>2150070.4512</v>
      </c>
      <c r="E13" s="1">
        <f t="shared" si="1"/>
        <v>3328309.0584575995</v>
      </c>
      <c r="F13" s="1">
        <f t="shared" si="1"/>
        <v>4579753.2644376568</v>
      </c>
      <c r="G13" s="1">
        <f t="shared" si="1"/>
        <v>5907881.7111245785</v>
      </c>
      <c r="H13" s="1">
        <f t="shared" si="1"/>
        <v>7316320.7110566767</v>
      </c>
      <c r="I13" s="1">
        <f t="shared" si="1"/>
        <v>8808850.1361122411</v>
      </c>
      <c r="J13" s="1">
        <f t="shared" si="1"/>
        <v>10389409.531963235</v>
      </c>
      <c r="K13" s="1">
        <f t="shared" si="1"/>
        <v>12062104.466609318</v>
      </c>
      <c r="L13" s="1">
        <f t="shared" si="1"/>
        <v>13831213.121712016</v>
      </c>
      <c r="M13" s="1">
        <f t="shared" si="1"/>
        <v>15701193.135767477</v>
      </c>
      <c r="N13" s="1">
        <f t="shared" si="1"/>
        <v>17676688.70848586</v>
      </c>
      <c r="O13" s="1">
        <f t="shared" si="1"/>
        <v>19762537.97608719</v>
      </c>
      <c r="P13" s="1">
        <f t="shared" si="1"/>
        <v>21963780.667577516</v>
      </c>
      <c r="Q13" s="1">
        <f t="shared" si="1"/>
        <v>24285666.052435707</v>
      </c>
      <c r="R13" s="1">
        <f t="shared" si="1"/>
        <v>26733661.190521237</v>
      </c>
      <c r="S13" s="1">
        <f t="shared" si="1"/>
        <v>29313459.495406542</v>
      </c>
      <c r="T13" s="1">
        <f t="shared" si="1"/>
        <v>32030989.622745402</v>
      </c>
      <c r="U13" s="1">
        <f t="shared" si="1"/>
        <v>34892424.695710659</v>
      </c>
      <c r="V13" s="1">
        <f t="shared" si="1"/>
        <v>37904191.879972003</v>
      </c>
      <c r="W13" s="1">
        <f t="shared" si="1"/>
        <v>41072982.321137667</v>
      </c>
      <c r="X13" s="1">
        <f t="shared" si="1"/>
        <v>44405761.458052836</v>
      </c>
      <c r="Y13" s="1">
        <f t="shared" si="1"/>
        <v>47909779.725833714</v>
      </c>
      <c r="Z13" s="1">
        <f t="shared" si="1"/>
        <v>51592583.663019553</v>
      </c>
      <c r="AA13" s="1">
        <f t="shared" si="1"/>
        <v>55462027.437746041</v>
      </c>
      <c r="AB13" s="1">
        <f t="shared" si="1"/>
        <v>59526284.808384039</v>
      </c>
      <c r="AC13" s="1">
        <f t="shared" si="1"/>
        <v>63793861.534646645</v>
      </c>
      <c r="AD13" s="1">
        <f t="shared" si="1"/>
        <v>68273608.25574629</v>
      </c>
      <c r="AE13" s="1">
        <f t="shared" si="1"/>
        <v>72974733.852784812</v>
      </c>
      <c r="AF13" s="1">
        <f t="shared" si="1"/>
        <v>77906819.31317991</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50518674.961854279</v>
      </c>
      <c r="D25" s="40">
        <f>SUM(D11:D13,D18:D23)</f>
        <v>53210307.786233611</v>
      </c>
      <c r="E25" s="40">
        <f t="shared" ref="E25:AF25" si="7">SUM(E11:E13,E18:E23)</f>
        <v>56022473.988212287</v>
      </c>
      <c r="F25" s="40">
        <f t="shared" si="7"/>
        <v>58960131.471944496</v>
      </c>
      <c r="G25" s="40">
        <f t="shared" si="7"/>
        <v>62028432.021271639</v>
      </c>
      <c r="H25" s="40">
        <f t="shared" si="7"/>
        <v>65232728.63112843</v>
      </c>
      <c r="I25" s="40">
        <f t="shared" si="7"/>
        <v>68578583.109626278</v>
      </c>
      <c r="J25" s="40">
        <f t="shared" si="7"/>
        <v>72071773.960629731</v>
      </c>
      <c r="K25" s="40">
        <f t="shared" si="7"/>
        <v>75718304.556993157</v>
      </c>
      <c r="L25" s="40">
        <f t="shared" si="7"/>
        <v>79524411.614988133</v>
      </c>
      <c r="M25" s="40">
        <f t="shared" si="7"/>
        <v>83496573.980828419</v>
      </c>
      <c r="N25" s="40">
        <f t="shared" si="7"/>
        <v>87641521.740588754</v>
      </c>
      <c r="O25" s="40">
        <f t="shared" si="7"/>
        <v>91966245.66521737</v>
      </c>
      <c r="P25" s="40">
        <f t="shared" si="7"/>
        <v>96478007.002759874</v>
      </c>
      <c r="Q25" s="40">
        <f t="shared" si="7"/>
        <v>101184347.63034388</v>
      </c>
      <c r="R25" s="40">
        <f t="shared" si="7"/>
        <v>106093100.5789225</v>
      </c>
      <c r="S25" s="40">
        <f t="shared" si="7"/>
        <v>111212400.94423664</v>
      </c>
      <c r="T25" s="40">
        <f t="shared" si="7"/>
        <v>116550697.19793805</v>
      </c>
      <c r="U25" s="40">
        <f t="shared" si="7"/>
        <v>122116762.91330947</v>
      </c>
      <c r="V25" s="40">
        <f t="shared" si="7"/>
        <v>127919708.92053398</v>
      </c>
      <c r="W25" s="40">
        <f t="shared" si="7"/>
        <v>133968995.90699764</v>
      </c>
      <c r="X25" s="40">
        <f t="shared" si="7"/>
        <v>140274447.47866032</v>
      </c>
      <c r="Y25" s="40">
        <f t="shared" si="7"/>
        <v>146846263.69910061</v>
      </c>
      <c r="Z25" s="40">
        <f t="shared" si="7"/>
        <v>153695035.123431</v>
      </c>
      <c r="AA25" s="40">
        <f t="shared" si="7"/>
        <v>160831757.34489068</v>
      </c>
      <c r="AB25" s="40">
        <f t="shared" si="7"/>
        <v>168267846.07255727</v>
      </c>
      <c r="AC25" s="40">
        <f t="shared" si="7"/>
        <v>176015152.75927341</v>
      </c>
      <c r="AD25" s="40">
        <f t="shared" si="7"/>
        <v>184085980.79956114</v>
      </c>
      <c r="AE25" s="40">
        <f t="shared" si="7"/>
        <v>192493102.31800175</v>
      </c>
      <c r="AF25" s="40">
        <f t="shared" si="7"/>
        <v>201249775.56928375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16634487.073678834</v>
      </c>
      <c r="D5" s="59">
        <f>C5*('Price and Financial ratios'!F4+1)*(1+Assumptions!$C$13)</f>
        <v>25819747.784517121</v>
      </c>
      <c r="E5" s="59">
        <f>D5*('Price and Financial ratios'!G4+1)*(1+Assumptions!$C$13)</f>
        <v>40076942.120502688</v>
      </c>
      <c r="F5" s="59">
        <f>E5*('Price and Financial ratios'!H4+1)*(1+Assumptions!$C$13)</f>
        <v>52384588.991735727</v>
      </c>
      <c r="G5" s="59">
        <f>F5*('Price and Financial ratios'!I4+1)*(1+Assumptions!$C$13)</f>
        <v>61517740.380945958</v>
      </c>
      <c r="H5" s="59">
        <f>G5*('Price and Financial ratios'!J4+1)*(1+Assumptions!$C$13)</f>
        <v>69730430.670939833</v>
      </c>
      <c r="I5" s="59">
        <f>H5*('Price and Financial ratios'!K4+1)*(1+Assumptions!$C$13)</f>
        <v>76903321.349132657</v>
      </c>
      <c r="J5" s="59">
        <f>I5*('Price and Financial ratios'!L4+1)*(1+Assumptions!$C$13)</f>
        <v>84028743.262478814</v>
      </c>
      <c r="K5" s="59">
        <f>J5*('Price and Financial ratios'!M4+1)*(1+Assumptions!$C$13)</f>
        <v>90098209.642842084</v>
      </c>
      <c r="L5" s="59">
        <f>K5*('Price and Financial ratios'!N4+1)*(1+Assumptions!$C$13)</f>
        <v>96606078.654401302</v>
      </c>
      <c r="M5" s="59">
        <f>L5*('Price and Financial ratios'!O4+1)*(1+Assumptions!$C$13)</f>
        <v>103584016.48574619</v>
      </c>
      <c r="N5" s="59">
        <f>M5*('Price and Financial ratios'!P4+1)*(1+Assumptions!$C$13)</f>
        <v>111065976.60074368</v>
      </c>
      <c r="O5" s="59">
        <f>N5*('Price and Financial ratios'!Q4+1)*(1+Assumptions!$C$13)</f>
        <v>117954190.04605454</v>
      </c>
      <c r="P5" s="59">
        <f>O5*('Price and Financial ratios'!R4+1)*(1+Assumptions!$C$13)</f>
        <v>125269604.38510735</v>
      </c>
      <c r="Q5" s="59">
        <f>P5*('Price and Financial ratios'!S4+1)*(1+Assumptions!$C$13)</f>
        <v>133038714.23875889</v>
      </c>
      <c r="R5" s="59">
        <f>Q5*('Price and Financial ratios'!T4+1)*(1+Assumptions!$C$13)</f>
        <v>141289657.40077269</v>
      </c>
      <c r="S5" s="59">
        <f>R5*('Price and Financial ratios'!U4+1)*(1+Assumptions!$C$13)</f>
        <v>148609506.00800475</v>
      </c>
      <c r="T5" s="59">
        <f>S5*('Price and Financial ratios'!V4+1)*(1+Assumptions!$C$13)</f>
        <v>156308576.87834144</v>
      </c>
      <c r="U5" s="59">
        <f>T5*('Price and Financial ratios'!W4+1)*(1+Assumptions!$C$13)</f>
        <v>164406516.52806345</v>
      </c>
      <c r="V5" s="59">
        <f>U5*('Price and Financial ratios'!X4+1)*(1+Assumptions!$C$13)</f>
        <v>172923989.30821359</v>
      </c>
      <c r="W5" s="59">
        <f>V5*('Price and Financial ratios'!Y4+1)*(1+Assumptions!$C$13)</f>
        <v>181882730.13596097</v>
      </c>
      <c r="X5" s="59">
        <f>W5*('Price and Financial ratios'!Z4+1)*(1+Assumptions!$C$13)</f>
        <v>191305599.95783937</v>
      </c>
      <c r="Y5" s="59">
        <f>X5*('Price and Financial ratios'!AA4+1)*(1+Assumptions!$C$13)</f>
        <v>201216644.0863916</v>
      </c>
      <c r="Z5" s="59">
        <f>Y5*('Price and Financial ratios'!AB4+1)*(1+Assumptions!$C$13)</f>
        <v>211641153.55908304</v>
      </c>
      <c r="AA5" s="59">
        <f>Z5*('Price and Financial ratios'!AC4+1)*(1+Assumptions!$C$13)</f>
        <v>220876753.13488725</v>
      </c>
      <c r="AB5" s="59">
        <f>AA5*('Price and Financial ratios'!AD4+1)*(1+Assumptions!$C$13)</f>
        <v>230515375.93226343</v>
      </c>
      <c r="AC5" s="59">
        <f>AB5*('Price and Financial ratios'!AE4+1)*(1+Assumptions!$C$13)</f>
        <v>240574609.08410895</v>
      </c>
      <c r="AD5" s="59">
        <f>AC5*('Price and Financial ratios'!AF4+1)*(1+Assumptions!$C$13)</f>
        <v>251072807.19086888</v>
      </c>
      <c r="AE5" s="59">
        <f>AD5*('Price and Financial ratios'!AG4+1)*(1+Assumptions!$C$13)</f>
        <v>262029125.81129554</v>
      </c>
      <c r="AF5" s="59">
        <f>AE5*('Price and Financial ratios'!AH4+1)*(1+Assumptions!$C$13)</f>
        <v>273463556.41467798</v>
      </c>
    </row>
    <row r="6" spans="1:32" s="11" customFormat="1" x14ac:dyDescent="0.35">
      <c r="A6" s="11" t="s">
        <v>20</v>
      </c>
      <c r="C6" s="59">
        <f>C27</f>
        <v>6549805.7204683544</v>
      </c>
      <c r="D6" s="59">
        <f t="shared" ref="D6:AF6" si="1">D27</f>
        <v>8125601.517071438</v>
      </c>
      <c r="E6" s="59">
        <f>E27</f>
        <v>9770025.1130646691</v>
      </c>
      <c r="F6" s="59">
        <f t="shared" si="1"/>
        <v>11485440.922096878</v>
      </c>
      <c r="G6" s="59">
        <f t="shared" si="1"/>
        <v>13274288.866186045</v>
      </c>
      <c r="H6" s="59">
        <f t="shared" si="1"/>
        <v>15139086.758374659</v>
      </c>
      <c r="I6" s="59">
        <f t="shared" si="1"/>
        <v>17082432.762606945</v>
      </c>
      <c r="J6" s="59">
        <f t="shared" si="1"/>
        <v>19107007.933462277</v>
      </c>
      <c r="K6" s="59">
        <f t="shared" si="1"/>
        <v>21215578.83847459</v>
      </c>
      <c r="L6" s="59">
        <f t="shared" si="1"/>
        <v>23411000.265866883</v>
      </c>
      <c r="M6" s="59">
        <f t="shared" si="1"/>
        <v>25696218.020632811</v>
      </c>
      <c r="N6" s="59">
        <f t="shared" si="1"/>
        <v>28074271.812004529</v>
      </c>
      <c r="O6" s="59">
        <f t="shared" si="1"/>
        <v>30548298.235456936</v>
      </c>
      <c r="P6" s="59">
        <f t="shared" si="1"/>
        <v>33121533.852514029</v>
      </c>
      <c r="Q6" s="59">
        <f t="shared" si="1"/>
        <v>35797318.371742837</v>
      </c>
      <c r="R6" s="59">
        <f t="shared" si="1"/>
        <v>38579097.934445173</v>
      </c>
      <c r="S6" s="59">
        <f t="shared" si="1"/>
        <v>41470428.508686624</v>
      </c>
      <c r="T6" s="59">
        <f t="shared" si="1"/>
        <v>44474979.395436794</v>
      </c>
      <c r="U6" s="59">
        <f t="shared" si="1"/>
        <v>47596536.850734487</v>
      </c>
      <c r="V6" s="59">
        <f t="shared" si="1"/>
        <v>50839007.827936575</v>
      </c>
      <c r="W6" s="59">
        <f t="shared" si="1"/>
        <v>54206423.844260201</v>
      </c>
      <c r="X6" s="59">
        <f t="shared" si="1"/>
        <v>57702944.975984775</v>
      </c>
      <c r="Y6" s="59">
        <f t="shared" si="1"/>
        <v>61332863.986842841</v>
      </c>
      <c r="Z6" s="59">
        <f t="shared" si="1"/>
        <v>65100610.594298579</v>
      </c>
      <c r="AA6" s="59">
        <f t="shared" si="1"/>
        <v>69010755.878588155</v>
      </c>
      <c r="AB6" s="59">
        <f t="shared" si="1"/>
        <v>73068016.839579761</v>
      </c>
      <c r="AC6" s="59">
        <f t="shared" si="1"/>
        <v>77277261.10670042</v>
      </c>
      <c r="AD6" s="59">
        <f t="shared" si="1"/>
        <v>81643511.807374939</v>
      </c>
      <c r="AE6" s="59">
        <f t="shared" si="1"/>
        <v>86171952.599627644</v>
      </c>
      <c r="AF6" s="59">
        <f t="shared" si="1"/>
        <v>90867932.874710977</v>
      </c>
    </row>
    <row r="7" spans="1:32" x14ac:dyDescent="0.35">
      <c r="A7" t="s">
        <v>21</v>
      </c>
      <c r="C7" s="4">
        <f>Depreciation!C8+Depreciation!C9</f>
        <v>7114474.9618542716</v>
      </c>
      <c r="D7" s="4">
        <f>Depreciation!D8+Depreciation!D9</f>
        <v>8417173.3862336092</v>
      </c>
      <c r="E7" s="4">
        <f>Depreciation!E8+Depreciation!E9</f>
        <v>9795959.2874122839</v>
      </c>
      <c r="F7" s="4">
        <f>Depreciation!F8+Depreciation!F9</f>
        <v>11254368.300718891</v>
      </c>
      <c r="G7" s="4">
        <f>Depreciation!G8+Depreciation!G9</f>
        <v>12796084.428566813</v>
      </c>
      <c r="H7" s="4">
        <f>Depreciation!H8+Depreciation!H9</f>
        <v>14424945.915457061</v>
      </c>
      <c r="I7" s="4">
        <f>Depreciation!I8+Depreciation!I9</f>
        <v>16144951.347053437</v>
      </c>
      <c r="J7" s="4">
        <f>Depreciation!J8+Depreciation!J9</f>
        <v>17960265.981654551</v>
      </c>
      <c r="K7" s="4">
        <f>Depreciation!K8+Depreciation!K9</f>
        <v>19875228.322690755</v>
      </c>
      <c r="L7" s="4">
        <f>Depreciation!L8+Depreciation!L9</f>
        <v>21894356.94118806</v>
      </c>
      <c r="M7" s="4">
        <f>Depreciation!M8+Depreciation!M9</f>
        <v>24022357.557466753</v>
      </c>
      <c r="N7" s="4">
        <f>Depreciation!N8+Depreciation!N9</f>
        <v>26264130.391679514</v>
      </c>
      <c r="O7" s="4">
        <f>Depreciation!O8+Depreciation!O9</f>
        <v>28624777.793143041</v>
      </c>
      <c r="P7" s="4">
        <f>Depreciation!P8+Depreciation!P9</f>
        <v>31109612.158779152</v>
      </c>
      <c r="Q7" s="4">
        <f>Depreciation!Q8+Depreciation!Q9</f>
        <v>33724164.151355796</v>
      </c>
      <c r="R7" s="4">
        <f>Depreciation!R8+Depreciation!R9</f>
        <v>36474191.228606768</v>
      </c>
      <c r="S7" s="4">
        <f>Depreciation!S8+Depreciation!S9</f>
        <v>39365686.49471081</v>
      </c>
      <c r="T7" s="4">
        <f>Depreciation!T8+Depreciation!T9</f>
        <v>42404887.886027411</v>
      </c>
      <c r="U7" s="4">
        <f>Depreciation!U8+Depreciation!U9</f>
        <v>45598287.703417689</v>
      </c>
      <c r="V7" s="4">
        <f>Depreciation!V8+Depreciation!V9</f>
        <v>48952642.503925659</v>
      </c>
      <c r="W7" s="4">
        <f>Depreciation!W8+Depreciation!W9</f>
        <v>52474983.365057841</v>
      </c>
      <c r="X7" s="4">
        <f>Depreciation!X8+Depreciation!X9</f>
        <v>56172626.535378456</v>
      </c>
      <c r="Y7" s="4">
        <f>Depreciation!Y8+Depreciation!Y9</f>
        <v>60053184.485633746</v>
      </c>
      <c r="Z7" s="4">
        <f>Depreciation!Z8+Depreciation!Z9</f>
        <v>64124577.375133187</v>
      </c>
      <c r="AA7" s="4">
        <f>Depreciation!AA8+Depreciation!AA9</f>
        <v>68395044.94864732</v>
      </c>
      <c r="AB7" s="4">
        <f>Depreciation!AB8+Depreciation!AB9</f>
        <v>72873158.879634157</v>
      </c>
      <c r="AC7" s="4">
        <f>Depreciation!AC8+Depreciation!AC9</f>
        <v>77567835.576176763</v>
      </c>
      <c r="AD7" s="4">
        <f>Depreciation!AD8+Depreciation!AD9</f>
        <v>82488349.466605365</v>
      </c>
      <c r="AE7" s="4">
        <f>Depreciation!AE8+Depreciation!AE9</f>
        <v>87644346.782391384</v>
      </c>
      <c r="AF7" s="4">
        <f>Depreciation!AF8+Depreciation!AF9</f>
        <v>93045859.856533885</v>
      </c>
    </row>
    <row r="8" spans="1:32" x14ac:dyDescent="0.35">
      <c r="A8" t="s">
        <v>6</v>
      </c>
      <c r="C8" s="4">
        <f ca="1">'Debt worksheet'!C8</f>
        <v>2153605.9858057341</v>
      </c>
      <c r="D8" s="4">
        <f ca="1">'Debt worksheet'!D8</f>
        <v>3519866.98338167</v>
      </c>
      <c r="E8" s="4">
        <f ca="1">'Debt worksheet'!E8</f>
        <v>4580219.1478847349</v>
      </c>
      <c r="F8" s="4">
        <f ca="1">'Debt worksheet'!F8</f>
        <v>5401402.660067806</v>
      </c>
      <c r="G8" s="4">
        <f ca="1">'Debt worksheet'!G8</f>
        <v>6097281.8422753541</v>
      </c>
      <c r="H8" s="4">
        <f ca="1">'Debt worksheet'!H8</f>
        <v>6704383.7382643195</v>
      </c>
      <c r="I8" s="4">
        <f ca="1">'Debt worksheet'!I8</f>
        <v>7265184.5042205593</v>
      </c>
      <c r="J8" s="4">
        <f ca="1">'Debt worksheet'!J8</f>
        <v>7788016.4314269647</v>
      </c>
      <c r="K8" s="4">
        <f ca="1">'Debt worksheet'!K8</f>
        <v>8318409.3396568522</v>
      </c>
      <c r="L8" s="4">
        <f ca="1">'Debt worksheet'!L8</f>
        <v>8849674.6140753701</v>
      </c>
      <c r="M8" s="4">
        <f ca="1">'Debt worksheet'!M8</f>
        <v>9374074.3597154375</v>
      </c>
      <c r="N8" s="4">
        <f ca="1">'Debt worksheet'!N8</f>
        <v>9882712.9046944808</v>
      </c>
      <c r="O8" s="4">
        <f ca="1">'Debt worksheet'!O8</f>
        <v>10406554.7042551</v>
      </c>
      <c r="P8" s="4">
        <f ca="1">'Debt worksheet'!P8</f>
        <v>10941038.840114953</v>
      </c>
      <c r="Q8" s="4">
        <f ca="1">'Debt worksheet'!Q8</f>
        <v>11480872.69619837</v>
      </c>
      <c r="R8" s="4">
        <f ca="1">'Debt worksheet'!R8</f>
        <v>12019960.24366756</v>
      </c>
      <c r="S8" s="4">
        <f ca="1">'Debt worksheet'!S8</f>
        <v>12603654.470714722</v>
      </c>
      <c r="T8" s="4">
        <f ca="1">'Debt worksheet'!T8</f>
        <v>13231868.353099369</v>
      </c>
      <c r="U8" s="4">
        <f ca="1">'Debt worksheet'!U8</f>
        <v>13904254.680164441</v>
      </c>
      <c r="V8" s="4">
        <f ca="1">'Debt worksheet'!V8</f>
        <v>14620176.311475065</v>
      </c>
      <c r="W8" s="4">
        <f ca="1">'Debt worksheet'!W8</f>
        <v>15378674.039389072</v>
      </c>
      <c r="X8" s="4">
        <f ca="1">'Debt worksheet'!X8</f>
        <v>16178431.893033443</v>
      </c>
      <c r="Y8" s="4">
        <f ca="1">'Debt worksheet'!Y8</f>
        <v>17017739.708826691</v>
      </c>
      <c r="Z8" s="4">
        <f ca="1">'Debt worksheet'!Z8</f>
        <v>17894452.78174023</v>
      </c>
      <c r="AA8" s="4">
        <f ca="1">'Debt worksheet'!AA8</f>
        <v>18868657.393617552</v>
      </c>
      <c r="AB8" s="4">
        <f ca="1">'Debt worksheet'!AB8</f>
        <v>19945465.738770079</v>
      </c>
      <c r="AC8" s="4">
        <f ca="1">'Debt worksheet'!AC8</f>
        <v>21130143.94418171</v>
      </c>
      <c r="AD8" s="4">
        <f ca="1">'Debt worksheet'!AD8</f>
        <v>22428111.84843944</v>
      </c>
      <c r="AE8" s="4">
        <f ca="1">'Debt worksheet'!AE8</f>
        <v>23844942.349389769</v>
      </c>
      <c r="AF8" s="4">
        <f ca="1">'Debt worksheet'!AF8</f>
        <v>25386360.280223683</v>
      </c>
    </row>
    <row r="9" spans="1:32" x14ac:dyDescent="0.35">
      <c r="A9" t="s">
        <v>22</v>
      </c>
      <c r="C9" s="4">
        <f ca="1">C5-C6-C7-C8</f>
        <v>816600.40555047337</v>
      </c>
      <c r="D9" s="4">
        <f t="shared" ref="D9:AF9" ca="1" si="2">D5-D6-D7-D8</f>
        <v>5757105.8978304043</v>
      </c>
      <c r="E9" s="4">
        <f t="shared" ca="1" si="2"/>
        <v>15930738.572140999</v>
      </c>
      <c r="F9" s="4">
        <f t="shared" ca="1" si="2"/>
        <v>24243377.108852156</v>
      </c>
      <c r="G9" s="4">
        <f t="shared" ca="1" si="2"/>
        <v>29350085.243917745</v>
      </c>
      <c r="H9" s="4">
        <f t="shared" ca="1" si="2"/>
        <v>33462014.258843791</v>
      </c>
      <c r="I9" s="4">
        <f t="shared" ca="1" si="2"/>
        <v>36410752.73525171</v>
      </c>
      <c r="J9" s="4">
        <f t="shared" ca="1" si="2"/>
        <v>39173452.915935017</v>
      </c>
      <c r="K9" s="4">
        <f t="shared" ca="1" si="2"/>
        <v>40688993.14201989</v>
      </c>
      <c r="L9" s="4">
        <f t="shared" ca="1" si="2"/>
        <v>42451046.833270997</v>
      </c>
      <c r="M9" s="4">
        <f t="shared" ca="1" si="2"/>
        <v>44491366.547931179</v>
      </c>
      <c r="N9" s="4">
        <f t="shared" ca="1" si="2"/>
        <v>46844861.492365152</v>
      </c>
      <c r="O9" s="4">
        <f t="shared" ca="1" si="2"/>
        <v>48374559.313199461</v>
      </c>
      <c r="P9" s="4">
        <f t="shared" ca="1" si="2"/>
        <v>50097419.533699222</v>
      </c>
      <c r="Q9" s="4">
        <f t="shared" ca="1" si="2"/>
        <v>52036359.019461885</v>
      </c>
      <c r="R9" s="4">
        <f t="shared" ca="1" si="2"/>
        <v>54216407.994053192</v>
      </c>
      <c r="S9" s="4">
        <f t="shared" ca="1" si="2"/>
        <v>55169736.533892602</v>
      </c>
      <c r="T9" s="4">
        <f t="shared" ca="1" si="2"/>
        <v>56196841.243777864</v>
      </c>
      <c r="U9" s="4">
        <f t="shared" ca="1" si="2"/>
        <v>57307437.293746829</v>
      </c>
      <c r="V9" s="4">
        <f t="shared" ca="1" si="2"/>
        <v>58512162.664876282</v>
      </c>
      <c r="W9" s="4">
        <f t="shared" ca="1" si="2"/>
        <v>59822648.887253851</v>
      </c>
      <c r="X9" s="4">
        <f t="shared" ca="1" si="2"/>
        <v>61251596.553442687</v>
      </c>
      <c r="Y9" s="4">
        <f t="shared" ca="1" si="2"/>
        <v>62812855.90508832</v>
      </c>
      <c r="Z9" s="4">
        <f t="shared" ca="1" si="2"/>
        <v>64521512.807911053</v>
      </c>
      <c r="AA9" s="4">
        <f t="shared" ca="1" si="2"/>
        <v>64602294.914034203</v>
      </c>
      <c r="AB9" s="4">
        <f t="shared" ca="1" si="2"/>
        <v>64628734.474279433</v>
      </c>
      <c r="AC9" s="4">
        <f t="shared" ca="1" si="2"/>
        <v>64599368.457050055</v>
      </c>
      <c r="AD9" s="4">
        <f t="shared" ca="1" si="2"/>
        <v>64512834.068449154</v>
      </c>
      <c r="AE9" s="4">
        <f t="shared" ca="1" si="2"/>
        <v>64367884.079886742</v>
      </c>
      <c r="AF9" s="4">
        <f t="shared" ca="1" si="2"/>
        <v>64163403.403209433</v>
      </c>
    </row>
    <row r="12" spans="1:32" x14ac:dyDescent="0.35">
      <c r="A12" t="s">
        <v>80</v>
      </c>
      <c r="C12" s="2">
        <f>Assumptions!$C$25*Assumptions!D9*Assumptions!D13</f>
        <v>5260297.2204683544</v>
      </c>
      <c r="D12" s="2">
        <f>Assumptions!$C$25*Assumptions!E9*Assumptions!E13</f>
        <v>5489846.1430714382</v>
      </c>
      <c r="E12" s="2">
        <f>Assumptions!$C$25*Assumptions!F9*Assumptions!F13</f>
        <v>5729412.1247226698</v>
      </c>
      <c r="F12" s="2">
        <f>Assumptions!$C$25*Assumptions!G9*Assumptions!G13</f>
        <v>5979432.289982846</v>
      </c>
      <c r="G12" s="2">
        <f>Assumptions!$C$25*Assumptions!H9*Assumptions!H13</f>
        <v>6240362.8386603678</v>
      </c>
      <c r="H12" s="2">
        <f>Assumptions!$C$25*Assumptions!I9*Assumptions!I13</f>
        <v>6512679.87821717</v>
      </c>
      <c r="I12" s="2">
        <f>Assumptions!$C$25*Assumptions!J9*Assumptions!J13</f>
        <v>6796880.292499166</v>
      </c>
      <c r="J12" s="2">
        <f>Assumptions!$C$25*Assumptions!K9*Assumptions!K13</f>
        <v>7093482.6483763903</v>
      </c>
      <c r="K12" s="2">
        <f>Assumptions!$C$25*Assumptions!L9*Assumptions!L13</f>
        <v>7403028.1419470934</v>
      </c>
      <c r="L12" s="2">
        <f>Assumptions!$C$25*Assumptions!M9*Assumptions!M13</f>
        <v>7726081.5860323245</v>
      </c>
      <c r="M12" s="2">
        <f>Assumptions!$C$25*Assumptions!N9*Assumptions!N13</f>
        <v>8063232.4407628011</v>
      </c>
      <c r="N12" s="2">
        <f>Assumptions!$C$25*Assumptions!O9*Assumptions!O13</f>
        <v>8415095.8891385458</v>
      </c>
      <c r="O12" s="2">
        <f>Assumptions!$C$25*Assumptions!P9*Assumptions!P13</f>
        <v>8782313.9595238175</v>
      </c>
      <c r="P12" s="2">
        <f>Assumptions!$C$25*Assumptions!Q9*Assumptions!Q13</f>
        <v>9165556.6971254814</v>
      </c>
      <c r="Q12" s="2">
        <f>Assumptions!$C$25*Assumptions!R9*Assumptions!R13</f>
        <v>9565523.386592377</v>
      </c>
      <c r="R12" s="2">
        <f>Assumptions!$C$25*Assumptions!S9*Assumptions!S13</f>
        <v>9982943.8279664852</v>
      </c>
      <c r="S12" s="2">
        <f>Assumptions!$C$25*Assumptions!T9*Assumptions!T13</f>
        <v>10418579.668314075</v>
      </c>
      <c r="T12" s="2">
        <f>Assumptions!$C$25*Assumptions!U9*Assumptions!U13</f>
        <v>10873225.791466592</v>
      </c>
      <c r="U12" s="2">
        <f>Assumptions!$C$25*Assumptions!V9*Assumptions!V13</f>
        <v>11347711.768407075</v>
      </c>
      <c r="V12" s="2">
        <f>Assumptions!$C$25*Assumptions!W9*Assumptions!W13</f>
        <v>11842903.370948549</v>
      </c>
      <c r="W12" s="2">
        <f>Assumptions!$C$25*Assumptions!X9*Assumptions!X13</f>
        <v>12359704.151466351</v>
      </c>
      <c r="X12" s="2">
        <f>Assumptions!$C$25*Assumptions!Y9*Assumptions!Y13</f>
        <v>12899057.091566829</v>
      </c>
      <c r="Y12" s="2">
        <f>Assumptions!$C$25*Assumptions!Z9*Assumptions!Z13</f>
        <v>13461946.322700655</v>
      </c>
      <c r="Z12" s="2">
        <f>Assumptions!$C$25*Assumptions!AA9*Assumptions!AA13</f>
        <v>14049398.92186032</v>
      </c>
      <c r="AA12" s="2">
        <f>Assumptions!$C$25*Assumptions!AB9*Assumptions!AB13</f>
        <v>14662486.78563826</v>
      </c>
      <c r="AB12" s="2">
        <f>Assumptions!$C$25*Assumptions!AC9*Assumptions!AC13</f>
        <v>15302328.58606519</v>
      </c>
      <c r="AC12" s="2">
        <f>Assumptions!$C$25*Assumptions!AD9*Assumptions!AD13</f>
        <v>15970091.811797306</v>
      </c>
      <c r="AD12" s="2">
        <f>Assumptions!$C$25*Assumptions!AE9*Assumptions!AE13</f>
        <v>16666994.898376893</v>
      </c>
      <c r="AE12" s="2">
        <f>Assumptions!$C$25*Assumptions!AF9*Assumptions!AF13</f>
        <v>17394309.451453209</v>
      </c>
      <c r="AF12" s="2">
        <f>Assumptions!$C$25*Assumptions!AG9*Assumptions!AG13</f>
        <v>18153362.56702036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1289508.5</v>
      </c>
      <c r="D14" s="5">
        <f>Assumptions!E122*Assumptions!E9</f>
        <v>2635755.3739999998</v>
      </c>
      <c r="E14" s="5">
        <f>Assumptions!F122*Assumptions!F9</f>
        <v>4040612.9883420002</v>
      </c>
      <c r="F14" s="5">
        <f>Assumptions!G122*Assumptions!G9</f>
        <v>5506008.6321140323</v>
      </c>
      <c r="G14" s="5">
        <f>Assumptions!H122*Assumptions!H9</f>
        <v>7033926.0275256764</v>
      </c>
      <c r="H14" s="5">
        <f>Assumptions!I122*Assumptions!I9</f>
        <v>8626406.8801574893</v>
      </c>
      <c r="I14" s="5">
        <f>Assumptions!J122*Assumptions!J9</f>
        <v>10285552.470107779</v>
      </c>
      <c r="J14" s="5">
        <f>Assumptions!K122*Assumptions!K9</f>
        <v>12013525.285085889</v>
      </c>
      <c r="K14" s="5">
        <f>Assumptions!L122*Assumptions!L9</f>
        <v>13812550.696527498</v>
      </c>
      <c r="L14" s="5">
        <f>Assumptions!M122*Assumptions!M9</f>
        <v>15684918.679834558</v>
      </c>
      <c r="M14" s="5">
        <f>Assumptions!N122*Assumptions!N9</f>
        <v>17632985.579870012</v>
      </c>
      <c r="N14" s="5">
        <f>Assumptions!O122*Assumptions!O9</f>
        <v>19659175.922865983</v>
      </c>
      <c r="O14" s="5">
        <f>Assumptions!P122*Assumptions!P9</f>
        <v>21765984.27593312</v>
      </c>
      <c r="P14" s="5">
        <f>Assumptions!Q122*Assumptions!Q9</f>
        <v>23955977.155388545</v>
      </c>
      <c r="Q14" s="5">
        <f>Assumptions!R122*Assumptions!R9</f>
        <v>26231794.98515046</v>
      </c>
      <c r="R14" s="5">
        <f>Assumptions!S122*Assumptions!S9</f>
        <v>28596154.106478691</v>
      </c>
      <c r="S14" s="5">
        <f>Assumptions!T122*Assumptions!T9</f>
        <v>31051848.840372548</v>
      </c>
      <c r="T14" s="5">
        <f>Assumptions!U122*Assumptions!U9</f>
        <v>33601753.6039702</v>
      </c>
      <c r="U14" s="5">
        <f>Assumptions!V122*Assumptions!V9</f>
        <v>36248825.082327411</v>
      </c>
      <c r="V14" s="5">
        <f>Assumptions!W122*Assumptions!W9</f>
        <v>38996104.456988022</v>
      </c>
      <c r="W14" s="5">
        <f>Assumptions!X122*Assumptions!X9</f>
        <v>41846719.692793846</v>
      </c>
      <c r="X14" s="5">
        <f>Assumptions!Y122*Assumptions!Y9</f>
        <v>44803887.884417944</v>
      </c>
      <c r="Y14" s="5">
        <f>Assumptions!Z122*Assumptions!Z9</f>
        <v>47870917.664142184</v>
      </c>
      <c r="Z14" s="5">
        <f>Assumptions!AA122*Assumptions!AA9</f>
        <v>51051211.672438256</v>
      </c>
      <c r="AA14" s="5">
        <f>Assumptions!AB122*Assumptions!AB9</f>
        <v>54348269.09294989</v>
      </c>
      <c r="AB14" s="5">
        <f>Assumptions!AC122*Assumptions!AC9</f>
        <v>57765688.253514573</v>
      </c>
      <c r="AC14" s="5">
        <f>Assumptions!AD122*Assumptions!AD9</f>
        <v>61307169.294903122</v>
      </c>
      <c r="AD14" s="5">
        <f>Assumptions!AE122*Assumptions!AE9</f>
        <v>64976516.90899805</v>
      </c>
      <c r="AE14" s="5">
        <f>Assumptions!AF122*Assumptions!AF9</f>
        <v>68777643.148174435</v>
      </c>
      <c r="AF14" s="5">
        <f>Assumptions!AG122*Assumptions!AG9</f>
        <v>72714570.30769062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6549805.7204683544</v>
      </c>
      <c r="D27" s="2">
        <f t="shared" ref="D27:AF27" si="8">D12+D13+D14+D19+D20+D22+D24+D25</f>
        <v>8125601.517071438</v>
      </c>
      <c r="E27" s="2">
        <f t="shared" si="8"/>
        <v>9770025.1130646691</v>
      </c>
      <c r="F27" s="2">
        <f t="shared" si="8"/>
        <v>11485440.922096878</v>
      </c>
      <c r="G27" s="2">
        <f t="shared" si="8"/>
        <v>13274288.866186045</v>
      </c>
      <c r="H27" s="2">
        <f t="shared" si="8"/>
        <v>15139086.758374659</v>
      </c>
      <c r="I27" s="2">
        <f t="shared" si="8"/>
        <v>17082432.762606945</v>
      </c>
      <c r="J27" s="2">
        <f t="shared" si="8"/>
        <v>19107007.933462277</v>
      </c>
      <c r="K27" s="2">
        <f t="shared" si="8"/>
        <v>21215578.83847459</v>
      </c>
      <c r="L27" s="2">
        <f t="shared" si="8"/>
        <v>23411000.265866883</v>
      </c>
      <c r="M27" s="2">
        <f t="shared" si="8"/>
        <v>25696218.020632811</v>
      </c>
      <c r="N27" s="2">
        <f t="shared" si="8"/>
        <v>28074271.812004529</v>
      </c>
      <c r="O27" s="2">
        <f t="shared" si="8"/>
        <v>30548298.235456936</v>
      </c>
      <c r="P27" s="2">
        <f t="shared" si="8"/>
        <v>33121533.852514029</v>
      </c>
      <c r="Q27" s="2">
        <f t="shared" si="8"/>
        <v>35797318.371742837</v>
      </c>
      <c r="R27" s="2">
        <f t="shared" si="8"/>
        <v>38579097.934445173</v>
      </c>
      <c r="S27" s="2">
        <f t="shared" si="8"/>
        <v>41470428.508686624</v>
      </c>
      <c r="T27" s="2">
        <f t="shared" si="8"/>
        <v>44474979.395436794</v>
      </c>
      <c r="U27" s="2">
        <f t="shared" si="8"/>
        <v>47596536.850734487</v>
      </c>
      <c r="V27" s="2">
        <f t="shared" si="8"/>
        <v>50839007.827936575</v>
      </c>
      <c r="W27" s="2">
        <f t="shared" si="8"/>
        <v>54206423.844260201</v>
      </c>
      <c r="X27" s="2">
        <f t="shared" si="8"/>
        <v>57702944.975984775</v>
      </c>
      <c r="Y27" s="2">
        <f t="shared" si="8"/>
        <v>61332863.986842841</v>
      </c>
      <c r="Z27" s="2">
        <f t="shared" si="8"/>
        <v>65100610.594298579</v>
      </c>
      <c r="AA27" s="2">
        <f t="shared" si="8"/>
        <v>69010755.878588155</v>
      </c>
      <c r="AB27" s="2">
        <f t="shared" si="8"/>
        <v>73068016.839579761</v>
      </c>
      <c r="AC27" s="2">
        <f t="shared" si="8"/>
        <v>77277261.10670042</v>
      </c>
      <c r="AD27" s="2">
        <f t="shared" si="8"/>
        <v>81643511.807374939</v>
      </c>
      <c r="AE27" s="2">
        <f t="shared" si="8"/>
        <v>86171952.599627644</v>
      </c>
      <c r="AF27" s="2">
        <f t="shared" si="8"/>
        <v>90867932.874710977</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3W2DU3RAJ5R2-1900874439-764</_dlc_DocId>
    <_dlc_DocIdUrl xmlns="f54e2983-00ce-40fc-8108-18f351fc47bf">
      <Url>https://dia.cohesion.net.nz/Sites/LGV/TWRP/CAE/_layouts/15/DocIdRedir.aspx?ID=3W2DU3RAJ5R2-1900874439-764</Url>
      <Description>3W2DU3RAJ5R2-1900874439-764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B273C0-560E-46E8-85A6-8AE9C761A7F4}"/>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4.xml><?xml version="1.0" encoding="utf-8"?>
<ds:datastoreItem xmlns:ds="http://schemas.openxmlformats.org/officeDocument/2006/customXml" ds:itemID="{32A4A3F5-D19B-40FB-8E77-355EC81049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2021-06-28T21:50:55Z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bbd1599b-9455-43e6-b790-9ecec8c0b96f</vt:lpwstr>
  </property>
</Properties>
</file>