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filterPrivacy="1" codeName="ThisWorkbook" defaultThemeVersion="166925"/>
  <xr:revisionPtr revIDLastSave="203" documentId="8_{8EE8B9A1-5F54-4BA0-BE11-9778E7D5A480}" xr6:coauthVersionLast="47" xr6:coauthVersionMax="47" xr10:uidLastSave="{E81664DB-42EC-4874-A9F4-264CBEEC6660}"/>
  <bookViews>
    <workbookView xWindow="-110" yWindow="-110" windowWidth="38620" windowHeight="21220" tabRatio="721"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anualCount" hidden="1">8</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6</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0</definedName>
    <definedName name="_AtRisk_SimSetting_ReportOptionCustomItemSummaryGraphType02" hidden="1">0</definedName>
    <definedName name="_AtRisk_SimSetting_ReportOptionCustomItemSummaryGraphType03" hidden="1">0</definedName>
    <definedName name="_AtRisk_SimSetting_ReportOptionCustomItemSummaryGraphType04" hidden="1">0</definedName>
    <definedName name="_AtRisk_SimSetting_ReportOptionCustomItemSummaryGraphType05" hidden="1">0</definedName>
    <definedName name="_AtRisk_SimSetting_ReportOptionCustomItemSummaryGraphType06" hidden="1">0</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2</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19" l="1"/>
  <c r="A9" i="19"/>
  <c r="B40" i="21"/>
  <c r="B27" i="21"/>
  <c r="A21" i="21"/>
  <c r="A34" i="21" s="1"/>
  <c r="B8" i="21"/>
  <c r="B21" i="21" s="1"/>
  <c r="B34" i="21" s="1"/>
  <c r="C83" i="2" l="1"/>
  <c r="C87" i="2"/>
  <c r="C82" i="2" l="1"/>
  <c r="C89" i="2" s="1"/>
  <c r="C94" i="2" s="1"/>
  <c r="C90" i="2"/>
  <c r="C95" i="2" s="1"/>
  <c r="C96" i="2" l="1"/>
  <c r="C102" i="2" s="1"/>
  <c r="D113" i="2" s="1"/>
  <c r="C58" i="2"/>
  <c r="C106" i="2" s="1"/>
  <c r="C63" i="2"/>
  <c r="C107" i="2" s="1"/>
  <c r="D11" i="2"/>
  <c r="C40" i="2" l="1"/>
  <c r="C41" i="2"/>
  <c r="C39" i="2"/>
  <c r="C36" i="2"/>
  <c r="C37" i="2"/>
  <c r="C35" i="2"/>
  <c r="F9" i="2" l="1"/>
  <c r="E9" i="2"/>
  <c r="D9" i="2"/>
  <c r="G11" i="2"/>
  <c r="V9" i="2"/>
  <c r="E11" i="2" l="1"/>
  <c r="F11" i="2"/>
  <c r="H11" i="2"/>
  <c r="I11" i="2"/>
  <c r="C67" i="2" l="1"/>
  <c r="C72" i="2"/>
  <c r="C5" i="3" l="1"/>
  <c r="B7" i="21"/>
  <c r="D3" i="3" l="1"/>
  <c r="E3" i="3" s="1"/>
  <c r="F3" i="3" s="1"/>
  <c r="G3" i="3" s="1"/>
  <c r="H3" i="3" s="1"/>
  <c r="I3" i="3" s="1"/>
  <c r="J3" i="3" s="1"/>
  <c r="K3" i="3" s="1"/>
  <c r="L3" i="3" s="1"/>
  <c r="M3" i="3" s="1"/>
  <c r="N3" i="3" s="1"/>
  <c r="O3" i="3" s="1"/>
  <c r="P3" i="3" s="1"/>
  <c r="Q3" i="3" s="1"/>
  <c r="R3" i="3" s="1"/>
  <c r="S3" i="3" s="1"/>
  <c r="T3" i="3" s="1"/>
  <c r="U3" i="3" s="1"/>
  <c r="V3" i="3" s="1"/>
  <c r="W3" i="3" s="1"/>
  <c r="X3" i="3" s="1"/>
  <c r="Y3" i="3" s="1"/>
  <c r="Z3" i="3" s="1"/>
  <c r="AA3" i="3" s="1"/>
  <c r="AB3" i="3" s="1"/>
  <c r="AC3" i="3" s="1"/>
  <c r="AD3" i="3" s="1"/>
  <c r="AE3" i="3" s="1"/>
  <c r="AF3" i="3" s="1"/>
  <c r="D3" i="6"/>
  <c r="E3" i="6" s="1"/>
  <c r="F3" i="6" s="1"/>
  <c r="G3" i="6" s="1"/>
  <c r="H3" i="6" s="1"/>
  <c r="I3" i="6" s="1"/>
  <c r="J3" i="6" s="1"/>
  <c r="K3" i="6" s="1"/>
  <c r="L3" i="6" s="1"/>
  <c r="M3" i="6" s="1"/>
  <c r="N3" i="6" s="1"/>
  <c r="O3" i="6" s="1"/>
  <c r="P3" i="6" s="1"/>
  <c r="Q3" i="6" s="1"/>
  <c r="R3" i="6" s="1"/>
  <c r="S3" i="6" s="1"/>
  <c r="T3" i="6" s="1"/>
  <c r="U3" i="6" s="1"/>
  <c r="V3" i="6" s="1"/>
  <c r="W3" i="6" s="1"/>
  <c r="X3" i="6" s="1"/>
  <c r="Y3" i="6" s="1"/>
  <c r="Z3" i="6" s="1"/>
  <c r="AA3" i="6" s="1"/>
  <c r="AB3" i="6" s="1"/>
  <c r="AC3" i="6" s="1"/>
  <c r="AD3" i="6" s="1"/>
  <c r="AE3" i="6" s="1"/>
  <c r="AF3" i="6" s="1"/>
  <c r="D3" i="4"/>
  <c r="E3" i="4" s="1"/>
  <c r="F3" i="4" s="1"/>
  <c r="G3" i="4" s="1"/>
  <c r="H3" i="4" s="1"/>
  <c r="I3" i="4" s="1"/>
  <c r="J3" i="4" s="1"/>
  <c r="K3" i="4" s="1"/>
  <c r="L3" i="4" s="1"/>
  <c r="M3" i="4" s="1"/>
  <c r="N3" i="4" s="1"/>
  <c r="O3" i="4" s="1"/>
  <c r="P3" i="4" s="1"/>
  <c r="Q3" i="4" s="1"/>
  <c r="R3" i="4" s="1"/>
  <c r="S3" i="4" s="1"/>
  <c r="T3" i="4" s="1"/>
  <c r="U3" i="4" s="1"/>
  <c r="V3" i="4" s="1"/>
  <c r="W3" i="4" s="1"/>
  <c r="X3" i="4" s="1"/>
  <c r="Y3" i="4" s="1"/>
  <c r="Z3" i="4" s="1"/>
  <c r="AA3" i="4" s="1"/>
  <c r="AB3" i="4" s="1"/>
  <c r="AC3" i="4" s="1"/>
  <c r="AD3" i="4" s="1"/>
  <c r="AE3" i="4" s="1"/>
  <c r="AF3" i="4" s="1"/>
  <c r="C3" i="5"/>
  <c r="D3" i="5" s="1"/>
  <c r="E3" i="5" s="1"/>
  <c r="F3" i="5" s="1"/>
  <c r="G3" i="5" s="1"/>
  <c r="H3" i="5" s="1"/>
  <c r="I3" i="5" s="1"/>
  <c r="J3" i="5" s="1"/>
  <c r="K3" i="5" s="1"/>
  <c r="L3" i="5" s="1"/>
  <c r="M3" i="5" s="1"/>
  <c r="N3" i="5" s="1"/>
  <c r="O3" i="5" s="1"/>
  <c r="P3" i="5" s="1"/>
  <c r="Q3" i="5" s="1"/>
  <c r="R3" i="5" s="1"/>
  <c r="S3" i="5" s="1"/>
  <c r="T3" i="5" s="1"/>
  <c r="U3" i="5" s="1"/>
  <c r="V3" i="5" s="1"/>
  <c r="W3" i="5" s="1"/>
  <c r="X3" i="5" s="1"/>
  <c r="Y3" i="5" s="1"/>
  <c r="Z3" i="5" s="1"/>
  <c r="AA3" i="5" s="1"/>
  <c r="AB3" i="5" s="1"/>
  <c r="AC3" i="5" s="1"/>
  <c r="AD3" i="5" s="1"/>
  <c r="AE3" i="5" s="1"/>
  <c r="D15" i="9" l="1"/>
  <c r="E15" i="9"/>
  <c r="F15" i="9"/>
  <c r="C15" i="9"/>
  <c r="D3" i="8"/>
  <c r="E3" i="8" s="1"/>
  <c r="F3" i="8" s="1"/>
  <c r="G3" i="8" s="1"/>
  <c r="H3" i="8" s="1"/>
  <c r="I3" i="8" s="1"/>
  <c r="J3" i="8" s="1"/>
  <c r="K3" i="8" s="1"/>
  <c r="L3" i="8" s="1"/>
  <c r="M3" i="8" s="1"/>
  <c r="N3" i="8" s="1"/>
  <c r="O3" i="8" s="1"/>
  <c r="P3" i="8" s="1"/>
  <c r="Q3" i="8" s="1"/>
  <c r="R3" i="8" s="1"/>
  <c r="S3" i="8" s="1"/>
  <c r="T3" i="8" s="1"/>
  <c r="U3" i="8" s="1"/>
  <c r="V3" i="8" s="1"/>
  <c r="W3" i="8" s="1"/>
  <c r="X3" i="8" s="1"/>
  <c r="Y3" i="8" s="1"/>
  <c r="Z3" i="8" s="1"/>
  <c r="AA3" i="8" s="1"/>
  <c r="AB3" i="8" s="1"/>
  <c r="AC3" i="8" s="1"/>
  <c r="AD3" i="8" s="1"/>
  <c r="AE3" i="8" s="1"/>
  <c r="AF3" i="8" s="1"/>
  <c r="F3" i="7"/>
  <c r="G3" i="7" s="1"/>
  <c r="H3" i="7" s="1"/>
  <c r="I3" i="7" s="1"/>
  <c r="J3" i="7" s="1"/>
  <c r="K3" i="7" s="1"/>
  <c r="L3" i="7" s="1"/>
  <c r="M3" i="7" s="1"/>
  <c r="N3" i="7" s="1"/>
  <c r="O3" i="7" s="1"/>
  <c r="P3" i="7" s="1"/>
  <c r="Q3" i="7" s="1"/>
  <c r="R3" i="7" s="1"/>
  <c r="S3" i="7" s="1"/>
  <c r="T3" i="7" s="1"/>
  <c r="U3" i="7" s="1"/>
  <c r="V3" i="7" s="1"/>
  <c r="W3" i="7" s="1"/>
  <c r="X3" i="7" s="1"/>
  <c r="Y3" i="7" s="1"/>
  <c r="Z3" i="7" s="1"/>
  <c r="AA3" i="7" s="1"/>
  <c r="AB3" i="7" s="1"/>
  <c r="AC3" i="7" s="1"/>
  <c r="AD3" i="7" s="1"/>
  <c r="AE3" i="7" s="1"/>
  <c r="AF3" i="7" s="1"/>
  <c r="AG3" i="7" s="1"/>
  <c r="AH3" i="7" s="1"/>
  <c r="D16" i="8"/>
  <c r="E16" i="8"/>
  <c r="F16" i="8"/>
  <c r="C16" i="8"/>
  <c r="D3" i="9" l="1"/>
  <c r="E3" i="9" s="1"/>
  <c r="F3" i="9" s="1"/>
  <c r="G3" i="9" s="1"/>
  <c r="H3" i="9" s="1"/>
  <c r="I3" i="9" s="1"/>
  <c r="J3" i="9" s="1"/>
  <c r="K3" i="9" s="1"/>
  <c r="L3" i="9" s="1"/>
  <c r="M3" i="9" s="1"/>
  <c r="N3" i="9" s="1"/>
  <c r="O3" i="9" s="1"/>
  <c r="P3" i="9" s="1"/>
  <c r="Q3" i="9" s="1"/>
  <c r="R3" i="9" s="1"/>
  <c r="S3" i="9" s="1"/>
  <c r="T3" i="9" s="1"/>
  <c r="U3" i="9" s="1"/>
  <c r="V3" i="9" s="1"/>
  <c r="W3" i="9" s="1"/>
  <c r="X3" i="9" s="1"/>
  <c r="Y3" i="9" s="1"/>
  <c r="Z3" i="9" s="1"/>
  <c r="AA3" i="9" s="1"/>
  <c r="AB3" i="9" s="1"/>
  <c r="AC3" i="9" s="1"/>
  <c r="AD3" i="9" s="1"/>
  <c r="AE3" i="9" s="1"/>
  <c r="AF3" i="9" s="1"/>
  <c r="D45" i="2" l="1"/>
  <c r="C16" i="9" s="1"/>
  <c r="L11" i="2"/>
  <c r="K9" i="9" s="1"/>
  <c r="M11" i="2"/>
  <c r="L9" i="9" s="1"/>
  <c r="N11" i="2"/>
  <c r="M9" i="9" s="1"/>
  <c r="O11" i="2"/>
  <c r="N9" i="9" s="1"/>
  <c r="P11" i="2"/>
  <c r="O9" i="9" s="1"/>
  <c r="Q11" i="2"/>
  <c r="P9" i="9" s="1"/>
  <c r="R11" i="2"/>
  <c r="Q9" i="9" s="1"/>
  <c r="S11" i="2"/>
  <c r="R9" i="9" s="1"/>
  <c r="T11" i="2"/>
  <c r="S9" i="9" s="1"/>
  <c r="U11" i="2"/>
  <c r="T9" i="9" s="1"/>
  <c r="V11" i="2"/>
  <c r="U9" i="9" s="1"/>
  <c r="W11" i="2"/>
  <c r="V9" i="9" s="1"/>
  <c r="X11" i="2"/>
  <c r="W9" i="9" s="1"/>
  <c r="Y11" i="2"/>
  <c r="X9" i="9" s="1"/>
  <c r="Z11" i="2"/>
  <c r="Y9" i="9" s="1"/>
  <c r="AA11" i="2"/>
  <c r="Z9" i="9" s="1"/>
  <c r="AB11" i="2"/>
  <c r="AA9" i="9" s="1"/>
  <c r="AC11" i="2"/>
  <c r="AB9" i="9" s="1"/>
  <c r="AD11" i="2"/>
  <c r="AC9" i="9" s="1"/>
  <c r="AE11" i="2"/>
  <c r="AD9" i="9" s="1"/>
  <c r="AF11" i="2"/>
  <c r="AE9" i="9" s="1"/>
  <c r="AG11" i="2"/>
  <c r="AF9" i="9" s="1"/>
  <c r="D9" i="9"/>
  <c r="E9" i="9"/>
  <c r="F9" i="9"/>
  <c r="G9" i="9"/>
  <c r="H9" i="9"/>
  <c r="J11" i="2"/>
  <c r="I9" i="9" s="1"/>
  <c r="K11" i="2"/>
  <c r="J9" i="9" s="1"/>
  <c r="C9" i="9"/>
  <c r="E4" i="2"/>
  <c r="F4" i="2" l="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AG4" i="2" s="1"/>
  <c r="E45" i="2"/>
  <c r="C17" i="8"/>
  <c r="F45" i="2" l="1"/>
  <c r="D17" i="8"/>
  <c r="D16" i="9"/>
  <c r="G45" i="2" l="1"/>
  <c r="E17" i="8"/>
  <c r="E16" i="9"/>
  <c r="H45" i="2" l="1"/>
  <c r="F17" i="8"/>
  <c r="F16" i="9"/>
  <c r="I45" i="2" l="1"/>
  <c r="G17" i="8"/>
  <c r="G16" i="9"/>
  <c r="J45" i="2" l="1"/>
  <c r="H17" i="8"/>
  <c r="H16" i="9"/>
  <c r="K45" i="2" l="1"/>
  <c r="I17" i="8"/>
  <c r="I16" i="9"/>
  <c r="L45" i="2" l="1"/>
  <c r="J17" i="8"/>
  <c r="J16" i="9"/>
  <c r="M45" i="2" l="1"/>
  <c r="K17" i="8"/>
  <c r="K16" i="9"/>
  <c r="N45" i="2" l="1"/>
  <c r="L17" i="8"/>
  <c r="L16" i="9"/>
  <c r="O45" i="2" l="1"/>
  <c r="M17" i="8"/>
  <c r="M16" i="9"/>
  <c r="P45" i="2" l="1"/>
  <c r="N17" i="8"/>
  <c r="N16" i="9"/>
  <c r="Q45" i="2" l="1"/>
  <c r="O17" i="8"/>
  <c r="O16" i="9"/>
  <c r="R45" i="2" l="1"/>
  <c r="P17" i="8"/>
  <c r="P16" i="9"/>
  <c r="S45" i="2" l="1"/>
  <c r="Q17" i="8"/>
  <c r="Q16" i="9"/>
  <c r="T45" i="2" l="1"/>
  <c r="R17" i="8"/>
  <c r="R16" i="9"/>
  <c r="U45" i="2" l="1"/>
  <c r="S17" i="8"/>
  <c r="S16" i="9"/>
  <c r="V45" i="2" l="1"/>
  <c r="T17" i="8"/>
  <c r="T16" i="9"/>
  <c r="W45" i="2" l="1"/>
  <c r="U17" i="8"/>
  <c r="U16" i="9"/>
  <c r="X45" i="2" l="1"/>
  <c r="V17" i="8"/>
  <c r="V16" i="9"/>
  <c r="Y45" i="2" l="1"/>
  <c r="W17" i="8"/>
  <c r="W16" i="9"/>
  <c r="Z45" i="2" l="1"/>
  <c r="X17" i="8"/>
  <c r="X16" i="9"/>
  <c r="AA45" i="2" l="1"/>
  <c r="Y17" i="8"/>
  <c r="Y16" i="9"/>
  <c r="AB45" i="2" l="1"/>
  <c r="Z17" i="8"/>
  <c r="Z16" i="9"/>
  <c r="AC45" i="2" l="1"/>
  <c r="AA17" i="8"/>
  <c r="AA16" i="9"/>
  <c r="AD45" i="2" l="1"/>
  <c r="AB17" i="8"/>
  <c r="AB16" i="9"/>
  <c r="AE45" i="2" l="1"/>
  <c r="AC17" i="8"/>
  <c r="AC16" i="9"/>
  <c r="AF45" i="2" l="1"/>
  <c r="AD17" i="8"/>
  <c r="AD16" i="9"/>
  <c r="AG45" i="2" l="1"/>
  <c r="AE17" i="8"/>
  <c r="AE16" i="9"/>
  <c r="AF17" i="8" l="1"/>
  <c r="AF16" i="9"/>
  <c r="AG9" i="2" l="1"/>
  <c r="AF22" i="8" s="1"/>
  <c r="AF9" i="2"/>
  <c r="AE9" i="2"/>
  <c r="AD9" i="2"/>
  <c r="AC9" i="2"/>
  <c r="AB9" i="2"/>
  <c r="AA9" i="2"/>
  <c r="Z9" i="2"/>
  <c r="Y9" i="2"/>
  <c r="X9" i="2"/>
  <c r="W9" i="2"/>
  <c r="U9" i="2"/>
  <c r="T9" i="2"/>
  <c r="S9" i="2"/>
  <c r="R9" i="2"/>
  <c r="Q9" i="2"/>
  <c r="P9" i="2"/>
  <c r="O9" i="2"/>
  <c r="N9" i="2"/>
  <c r="M9" i="2"/>
  <c r="L22" i="8" s="1"/>
  <c r="L9" i="2"/>
  <c r="K9" i="2"/>
  <c r="J9" i="2"/>
  <c r="I9" i="2"/>
  <c r="H9" i="2"/>
  <c r="G9" i="2"/>
  <c r="AA22" i="8" l="1"/>
  <c r="AB22" i="8"/>
  <c r="M22" i="8"/>
  <c r="AC22" i="8"/>
  <c r="N22" i="8"/>
  <c r="V22" i="8"/>
  <c r="AD22" i="8"/>
  <c r="R22" i="8"/>
  <c r="K22" i="8"/>
  <c r="T22" i="8"/>
  <c r="O22" i="8"/>
  <c r="W22" i="8"/>
  <c r="AE22" i="8"/>
  <c r="Z22" i="8"/>
  <c r="J22" i="8"/>
  <c r="S22" i="8"/>
  <c r="U22" i="8"/>
  <c r="H22" i="8"/>
  <c r="P22" i="8"/>
  <c r="X22" i="8"/>
  <c r="I22" i="8"/>
  <c r="Q22" i="8"/>
  <c r="Y22" i="8"/>
  <c r="B11" i="5" l="1"/>
  <c r="C22" i="6" s="1"/>
  <c r="E113" i="2" l="1"/>
  <c r="M113" i="2"/>
  <c r="U113" i="2"/>
  <c r="AC113" i="2"/>
  <c r="Y113" i="2"/>
  <c r="T113" i="2"/>
  <c r="F113" i="2"/>
  <c r="N113" i="2"/>
  <c r="V113" i="2"/>
  <c r="AD113" i="2"/>
  <c r="Q113" i="2"/>
  <c r="AB113" i="2"/>
  <c r="G113" i="2"/>
  <c r="O113" i="2"/>
  <c r="W113" i="2"/>
  <c r="AE113" i="2"/>
  <c r="H113" i="2"/>
  <c r="P113" i="2"/>
  <c r="X113" i="2"/>
  <c r="AF113" i="2"/>
  <c r="I113" i="2"/>
  <c r="AG113" i="2"/>
  <c r="J113" i="2"/>
  <c r="R113" i="2"/>
  <c r="Z113" i="2"/>
  <c r="K113" i="2"/>
  <c r="S113" i="2"/>
  <c r="AA113" i="2"/>
  <c r="L113" i="2"/>
  <c r="V6" i="9" l="1"/>
  <c r="V12" i="9" s="1"/>
  <c r="V21" i="9" s="1"/>
  <c r="H116" i="2"/>
  <c r="G6" i="9"/>
  <c r="G12" i="9" s="1"/>
  <c r="G21" i="9" s="1"/>
  <c r="W116" i="2" l="1"/>
  <c r="J116" i="2"/>
  <c r="O116" i="2"/>
  <c r="P116" i="2"/>
  <c r="V116" i="2"/>
  <c r="AB6" i="9"/>
  <c r="AB12" i="9" s="1"/>
  <c r="AB21" i="9" s="1"/>
  <c r="F6" i="9"/>
  <c r="F12" i="9" s="1"/>
  <c r="AE6" i="9"/>
  <c r="AE12" i="9" s="1"/>
  <c r="AE21" i="9" s="1"/>
  <c r="H6" i="9"/>
  <c r="H12" i="9" s="1"/>
  <c r="H21" i="9" s="1"/>
  <c r="L116" i="2"/>
  <c r="T6" i="9"/>
  <c r="T12" i="9" s="1"/>
  <c r="T21" i="9" s="1"/>
  <c r="Q6" i="9"/>
  <c r="Q12" i="9" s="1"/>
  <c r="Q21" i="9" s="1"/>
  <c r="S116" i="2"/>
  <c r="E116" i="2"/>
  <c r="AA6" i="9"/>
  <c r="AA12" i="9" s="1"/>
  <c r="AA21" i="9" s="1"/>
  <c r="F115" i="2"/>
  <c r="W6" i="9"/>
  <c r="W12" i="9" s="1"/>
  <c r="W21" i="9" s="1"/>
  <c r="Z6" i="9"/>
  <c r="Z12" i="9" s="1"/>
  <c r="Z21" i="9" s="1"/>
  <c r="Q116" i="2"/>
  <c r="M116" i="2"/>
  <c r="S6" i="9"/>
  <c r="S12" i="9" s="1"/>
  <c r="S21" i="9" s="1"/>
  <c r="AC6" i="9"/>
  <c r="AC12" i="9" s="1"/>
  <c r="AC21" i="9" s="1"/>
  <c r="K116" i="2"/>
  <c r="C6" i="9"/>
  <c r="C12" i="9" s="1"/>
  <c r="C21" i="9" s="1"/>
  <c r="D116" i="2"/>
  <c r="D115" i="2"/>
  <c r="X6" i="9"/>
  <c r="X12" i="9" s="1"/>
  <c r="X21" i="9" s="1"/>
  <c r="Y116" i="2"/>
  <c r="AF6" i="9"/>
  <c r="AF12" i="9" s="1"/>
  <c r="AF21" i="9" s="1"/>
  <c r="AG116" i="2"/>
  <c r="N6" i="9"/>
  <c r="N12" i="9" s="1"/>
  <c r="N21" i="9" s="1"/>
  <c r="AD6" i="9"/>
  <c r="AD12" i="9" s="1"/>
  <c r="AD21" i="9" s="1"/>
  <c r="AE116" i="2"/>
  <c r="Y6" i="9"/>
  <c r="Y12" i="9" s="1"/>
  <c r="Y21" i="9" s="1"/>
  <c r="Z116" i="2"/>
  <c r="O6" i="9"/>
  <c r="O12" i="9" s="1"/>
  <c r="O21" i="9" s="1"/>
  <c r="M6" i="9"/>
  <c r="M12" i="9" s="1"/>
  <c r="M21" i="9" s="1"/>
  <c r="N116" i="2"/>
  <c r="D118" i="2" l="1"/>
  <c r="D120" i="2" s="1"/>
  <c r="C9" i="6" s="1"/>
  <c r="I6" i="9"/>
  <c r="I12" i="9" s="1"/>
  <c r="I21" i="9" s="1"/>
  <c r="R6" i="9"/>
  <c r="R12" i="9" s="1"/>
  <c r="R21" i="9" s="1"/>
  <c r="K6" i="9"/>
  <c r="K12" i="9" s="1"/>
  <c r="K21" i="9" s="1"/>
  <c r="E115" i="2"/>
  <c r="E118" i="2" s="1"/>
  <c r="I116" i="2"/>
  <c r="U116" i="2"/>
  <c r="F20" i="9"/>
  <c r="F21" i="9"/>
  <c r="J6" i="9"/>
  <c r="J12" i="9" s="1"/>
  <c r="J21" i="9" s="1"/>
  <c r="G116" i="2"/>
  <c r="AA116" i="2"/>
  <c r="X116" i="2"/>
  <c r="AD116" i="2"/>
  <c r="T116" i="2"/>
  <c r="U6" i="9"/>
  <c r="U12" i="9" s="1"/>
  <c r="U21" i="9" s="1"/>
  <c r="G115" i="2"/>
  <c r="AB116" i="2"/>
  <c r="AC116" i="2"/>
  <c r="R116" i="2"/>
  <c r="P6" i="9"/>
  <c r="P12" i="9" s="1"/>
  <c r="P21" i="9" s="1"/>
  <c r="AF116" i="2"/>
  <c r="L6" i="9"/>
  <c r="L12" i="9" s="1"/>
  <c r="L21" i="9" s="1"/>
  <c r="E6" i="9"/>
  <c r="E12" i="9" s="1"/>
  <c r="F116" i="2"/>
  <c r="F118" i="2" s="1"/>
  <c r="C113" i="2"/>
  <c r="C114" i="2" s="1"/>
  <c r="D6" i="9"/>
  <c r="D12" i="9" s="1"/>
  <c r="C20" i="9"/>
  <c r="G118" i="2" l="1"/>
  <c r="G120" i="2" s="1"/>
  <c r="F9" i="6" s="1"/>
  <c r="D20" i="9"/>
  <c r="D21" i="9"/>
  <c r="E20" i="9"/>
  <c r="E21" i="9"/>
  <c r="E120" i="2"/>
  <c r="D9" i="6" s="1"/>
  <c r="F120" i="2"/>
  <c r="E9" i="6" s="1"/>
  <c r="D122" i="2"/>
  <c r="C7" i="9"/>
  <c r="C13" i="9" l="1"/>
  <c r="C23" i="9" s="1"/>
  <c r="F7" i="9"/>
  <c r="F13" i="9" s="1"/>
  <c r="F23" i="9" s="1"/>
  <c r="E7" i="9"/>
  <c r="E13" i="9" s="1"/>
  <c r="E23" i="9" s="1"/>
  <c r="D7" i="9"/>
  <c r="D13" i="9" s="1"/>
  <c r="D23" i="9" s="1"/>
  <c r="C129" i="2" l="1"/>
  <c r="C135" i="2" s="1"/>
  <c r="B10" i="21" s="1"/>
  <c r="B12" i="21" s="1"/>
  <c r="B16" i="21" s="1"/>
  <c r="G22" i="8" l="1"/>
  <c r="F22" i="8"/>
  <c r="C22" i="8"/>
  <c r="E22" i="8"/>
  <c r="D22" i="8" l="1"/>
  <c r="C14" i="8"/>
  <c r="E122" i="2"/>
  <c r="D14" i="8" s="1"/>
  <c r="G122" i="2"/>
  <c r="F14" i="8" s="1"/>
  <c r="F122" i="2"/>
  <c r="E14" i="8" s="1"/>
  <c r="H44" i="2" l="1"/>
  <c r="C24" i="8"/>
  <c r="C25" i="8"/>
  <c r="D24" i="8"/>
  <c r="D25" i="8"/>
  <c r="E24" i="8"/>
  <c r="E25" i="8"/>
  <c r="F24" i="8"/>
  <c r="F25" i="8"/>
  <c r="H43" i="2"/>
  <c r="H115" i="2" l="1"/>
  <c r="H118" i="2" s="1"/>
  <c r="I44" i="2"/>
  <c r="J44" i="2" s="1"/>
  <c r="G15" i="9"/>
  <c r="G20" i="9" s="1"/>
  <c r="I43" i="2"/>
  <c r="G16" i="8"/>
  <c r="D13" i="2" l="1"/>
  <c r="D135" i="2" s="1"/>
  <c r="E13" i="2"/>
  <c r="F13" i="2"/>
  <c r="C5" i="8"/>
  <c r="G13" i="2"/>
  <c r="I115" i="2"/>
  <c r="I118" i="2" s="1"/>
  <c r="I122" i="2" s="1"/>
  <c r="H14" i="8" s="1"/>
  <c r="H25" i="8" s="1"/>
  <c r="H120" i="2"/>
  <c r="H122" i="2"/>
  <c r="G14" i="8" s="1"/>
  <c r="G24" i="8" s="1"/>
  <c r="H15" i="9"/>
  <c r="H20" i="9" s="1"/>
  <c r="AF13" i="2"/>
  <c r="J43" i="2"/>
  <c r="H16" i="8"/>
  <c r="I15" i="9"/>
  <c r="I20" i="9" s="1"/>
  <c r="K44" i="2"/>
  <c r="J115" i="2"/>
  <c r="J118" i="2" s="1"/>
  <c r="G7" i="9" l="1"/>
  <c r="G13" i="9" s="1"/>
  <c r="G23" i="9" s="1"/>
  <c r="G9" i="6"/>
  <c r="I120" i="2"/>
  <c r="G25" i="8"/>
  <c r="H24" i="8"/>
  <c r="AE13" i="2"/>
  <c r="AD12" i="8" s="1"/>
  <c r="V13" i="2"/>
  <c r="U12" i="8" s="1"/>
  <c r="U13" i="2"/>
  <c r="U135" i="2" s="1"/>
  <c r="J13" i="2"/>
  <c r="J135" i="2" s="1"/>
  <c r="E135" i="2"/>
  <c r="C12" i="8"/>
  <c r="C20" i="8" s="1"/>
  <c r="O13" i="2"/>
  <c r="N12" i="8" s="1"/>
  <c r="AB13" i="2"/>
  <c r="AA12" i="8" s="1"/>
  <c r="S13" i="2"/>
  <c r="R12" i="8" s="1"/>
  <c r="Z13" i="2"/>
  <c r="Z135" i="2" s="1"/>
  <c r="AG13" i="2"/>
  <c r="AF12" i="8" s="1"/>
  <c r="AC13" i="2"/>
  <c r="AB12" i="8" s="1"/>
  <c r="AA13" i="2"/>
  <c r="AA135" i="2" s="1"/>
  <c r="Q13" i="2"/>
  <c r="P12" i="8" s="1"/>
  <c r="P13" i="2"/>
  <c r="O12" i="8" s="1"/>
  <c r="G135" i="2"/>
  <c r="E12" i="8"/>
  <c r="W13" i="2"/>
  <c r="V12" i="8" s="1"/>
  <c r="T13" i="2"/>
  <c r="T135" i="2" s="1"/>
  <c r="Y13" i="2"/>
  <c r="X12" i="8" s="1"/>
  <c r="N13" i="2"/>
  <c r="M12" i="8" s="1"/>
  <c r="L13" i="2"/>
  <c r="K12" i="8" s="1"/>
  <c r="R13" i="2"/>
  <c r="R135" i="2" s="1"/>
  <c r="I13" i="2"/>
  <c r="H12" i="8" s="1"/>
  <c r="X13" i="2"/>
  <c r="X135" i="2" s="1"/>
  <c r="AD13" i="2"/>
  <c r="AC12" i="8" s="1"/>
  <c r="K13" i="2"/>
  <c r="K135" i="2" s="1"/>
  <c r="M13" i="2"/>
  <c r="L12" i="8" s="1"/>
  <c r="H13" i="2"/>
  <c r="G12" i="8" s="1"/>
  <c r="J120" i="2"/>
  <c r="I9" i="6" s="1"/>
  <c r="J122" i="2"/>
  <c r="I14" i="8" s="1"/>
  <c r="J15" i="9"/>
  <c r="J20" i="9" s="1"/>
  <c r="L44" i="2"/>
  <c r="K115" i="2"/>
  <c r="K118" i="2" s="1"/>
  <c r="K122" i="2" s="1"/>
  <c r="J14" i="8" s="1"/>
  <c r="K43" i="2"/>
  <c r="I16" i="8"/>
  <c r="AF135" i="2"/>
  <c r="AE12" i="8"/>
  <c r="H7" i="9" l="1"/>
  <c r="H13" i="9" s="1"/>
  <c r="H23" i="9" s="1"/>
  <c r="H9" i="6"/>
  <c r="S12" i="8"/>
  <c r="S20" i="8" s="1"/>
  <c r="Y135" i="2"/>
  <c r="AB135" i="2"/>
  <c r="I135" i="2"/>
  <c r="O135" i="2"/>
  <c r="Q135" i="2"/>
  <c r="AE135" i="2"/>
  <c r="N135" i="2"/>
  <c r="C19" i="8"/>
  <c r="P135" i="2"/>
  <c r="V135" i="2"/>
  <c r="W12" i="8"/>
  <c r="W20" i="8" s="1"/>
  <c r="Z12" i="8"/>
  <c r="Z20" i="8" s="1"/>
  <c r="E6" i="7"/>
  <c r="D5" i="8"/>
  <c r="E5" i="8" s="1"/>
  <c r="F5" i="8" s="1"/>
  <c r="G5" i="8" s="1"/>
  <c r="H5" i="8" s="1"/>
  <c r="I5" i="8" s="1"/>
  <c r="J5" i="8" s="1"/>
  <c r="K5" i="8" s="1"/>
  <c r="L5" i="8" s="1"/>
  <c r="B20" i="21" s="1"/>
  <c r="I12" i="8"/>
  <c r="I20" i="8" s="1"/>
  <c r="S135" i="2"/>
  <c r="D12" i="8"/>
  <c r="D19" i="8" s="1"/>
  <c r="L135" i="2"/>
  <c r="Y12" i="8"/>
  <c r="Y20" i="8" s="1"/>
  <c r="Q12" i="8"/>
  <c r="Q20" i="8" s="1"/>
  <c r="H135" i="2"/>
  <c r="AG135" i="2"/>
  <c r="B36" i="21" s="1"/>
  <c r="J12" i="8"/>
  <c r="J20" i="8" s="1"/>
  <c r="AD135" i="2"/>
  <c r="F12" i="8"/>
  <c r="F20" i="8" s="1"/>
  <c r="AC135" i="2"/>
  <c r="M135" i="2"/>
  <c r="B23" i="21" s="1"/>
  <c r="W135" i="2"/>
  <c r="T12" i="8"/>
  <c r="T20" i="8" s="1"/>
  <c r="F135" i="2"/>
  <c r="J25" i="8"/>
  <c r="L43" i="2"/>
  <c r="J16" i="8"/>
  <c r="J24" i="8" s="1"/>
  <c r="K120" i="2"/>
  <c r="J9" i="6" s="1"/>
  <c r="I25" i="8"/>
  <c r="I24" i="8"/>
  <c r="K15" i="9"/>
  <c r="K20" i="9" s="1"/>
  <c r="M44" i="2"/>
  <c r="L115" i="2"/>
  <c r="L118" i="2" s="1"/>
  <c r="L120" i="2" s="1"/>
  <c r="K9" i="6" s="1"/>
  <c r="I7" i="9"/>
  <c r="I13" i="9" s="1"/>
  <c r="I23" i="9" s="1"/>
  <c r="P20" i="8"/>
  <c r="U20" i="8"/>
  <c r="AA20" i="8"/>
  <c r="AB20" i="8"/>
  <c r="G20" i="8"/>
  <c r="G19" i="8"/>
  <c r="AD20" i="8"/>
  <c r="L20" i="8"/>
  <c r="V20" i="8"/>
  <c r="AF20" i="8"/>
  <c r="K20" i="8"/>
  <c r="E19" i="8"/>
  <c r="E20" i="8"/>
  <c r="R20" i="8"/>
  <c r="O20" i="8"/>
  <c r="N20" i="8"/>
  <c r="M20" i="8"/>
  <c r="AE20" i="8"/>
  <c r="AC20" i="8"/>
  <c r="X20" i="8"/>
  <c r="H19" i="8"/>
  <c r="H20" i="8"/>
  <c r="C17" i="2" l="1"/>
  <c r="B25" i="21"/>
  <c r="B29" i="21" s="1"/>
  <c r="C66" i="2"/>
  <c r="C68" i="2" s="1"/>
  <c r="C71" i="2"/>
  <c r="C73" i="2" s="1"/>
  <c r="C75" i="2" s="1"/>
  <c r="C27" i="8"/>
  <c r="C6" i="8" s="1"/>
  <c r="I19" i="8"/>
  <c r="I27" i="8" s="1"/>
  <c r="I6" i="8" s="1"/>
  <c r="M5" i="8"/>
  <c r="N5" i="8" s="1"/>
  <c r="O5" i="8" s="1"/>
  <c r="P5" i="8" s="1"/>
  <c r="Q5" i="8" s="1"/>
  <c r="R5" i="8" s="1"/>
  <c r="S5" i="8" s="1"/>
  <c r="T5" i="8" s="1"/>
  <c r="U5" i="8" s="1"/>
  <c r="V5" i="8" s="1"/>
  <c r="W5" i="8" s="1"/>
  <c r="X5" i="8" s="1"/>
  <c r="Y5" i="8" s="1"/>
  <c r="Z5" i="8" s="1"/>
  <c r="AA5" i="8" s="1"/>
  <c r="AB5" i="8" s="1"/>
  <c r="AC5" i="8" s="1"/>
  <c r="AD5" i="8" s="1"/>
  <c r="AE5" i="8" s="1"/>
  <c r="AF5" i="8" s="1"/>
  <c r="B33" i="21" s="1"/>
  <c r="B38" i="21" s="1"/>
  <c r="B42" i="21" s="1"/>
  <c r="F19" i="8"/>
  <c r="F27" i="8" s="1"/>
  <c r="F6" i="8" s="1"/>
  <c r="D20" i="8"/>
  <c r="D27" i="8" s="1"/>
  <c r="D6" i="8" s="1"/>
  <c r="L122" i="2"/>
  <c r="K14" i="8" s="1"/>
  <c r="K25" i="8" s="1"/>
  <c r="J19" i="8"/>
  <c r="J27" i="8" s="1"/>
  <c r="J6" i="8" s="1"/>
  <c r="L15" i="9"/>
  <c r="L20" i="9" s="1"/>
  <c r="N44" i="2"/>
  <c r="M115" i="2"/>
  <c r="M118" i="2" s="1"/>
  <c r="M120" i="2" s="1"/>
  <c r="L9" i="6" s="1"/>
  <c r="K16" i="8"/>
  <c r="K19" i="8" s="1"/>
  <c r="M43" i="2"/>
  <c r="J7" i="9"/>
  <c r="J13" i="9" s="1"/>
  <c r="J23" i="9" s="1"/>
  <c r="K7" i="9"/>
  <c r="K13" i="9" s="1"/>
  <c r="K23" i="9" s="1"/>
  <c r="H27" i="8"/>
  <c r="H6" i="8" s="1"/>
  <c r="G27" i="8"/>
  <c r="G6" i="8" s="1"/>
  <c r="E27" i="8"/>
  <c r="E6" i="8" s="1"/>
  <c r="D111" i="2" l="1"/>
  <c r="C5" i="9" s="1"/>
  <c r="C11" i="9" s="1"/>
  <c r="C18" i="2"/>
  <c r="C7" i="6" s="1"/>
  <c r="B6" i="5"/>
  <c r="K24" i="8"/>
  <c r="K27" i="8" s="1"/>
  <c r="K6" i="8" s="1"/>
  <c r="M122" i="2"/>
  <c r="L14" i="8" s="1"/>
  <c r="L7" i="9"/>
  <c r="L13" i="9" s="1"/>
  <c r="L23" i="9" s="1"/>
  <c r="M15" i="9"/>
  <c r="M20" i="9" s="1"/>
  <c r="O44" i="2"/>
  <c r="N115" i="2"/>
  <c r="N118" i="2" s="1"/>
  <c r="N43" i="2"/>
  <c r="L16" i="8"/>
  <c r="L19" i="8" s="1"/>
  <c r="I111" i="2"/>
  <c r="H5" i="9" s="1"/>
  <c r="H11" i="9" s="1"/>
  <c r="H18" i="9" s="1"/>
  <c r="H25" i="9" s="1"/>
  <c r="H18" i="6" s="1"/>
  <c r="C6" i="6"/>
  <c r="AB111" i="2"/>
  <c r="AA8" i="6" s="1"/>
  <c r="AG111" i="2"/>
  <c r="AF5" i="9" s="1"/>
  <c r="AF11" i="9" s="1"/>
  <c r="AF18" i="9" s="1"/>
  <c r="M111" i="2"/>
  <c r="L8" i="6" s="1"/>
  <c r="K111" i="2"/>
  <c r="J5" i="9" s="1"/>
  <c r="J11" i="9" s="1"/>
  <c r="AE111" i="2"/>
  <c r="AD5" i="9" s="1"/>
  <c r="AD11" i="9" s="1"/>
  <c r="AF111" i="2"/>
  <c r="AE5" i="9" s="1"/>
  <c r="AE11" i="9" s="1"/>
  <c r="AE18" i="9" s="1"/>
  <c r="Z111" i="2"/>
  <c r="Y8" i="6" s="1"/>
  <c r="J111" i="2"/>
  <c r="I5" i="9" s="1"/>
  <c r="I11" i="9" s="1"/>
  <c r="I18" i="9" s="1"/>
  <c r="I25" i="9" s="1"/>
  <c r="I18" i="6" s="1"/>
  <c r="F111" i="2"/>
  <c r="E5" i="9" s="1"/>
  <c r="E11" i="9" s="1"/>
  <c r="G111" i="2"/>
  <c r="F8" i="6" s="1"/>
  <c r="N111" i="2"/>
  <c r="M5" i="9" s="1"/>
  <c r="M11" i="9" s="1"/>
  <c r="M18" i="9" s="1"/>
  <c r="T111" i="2"/>
  <c r="S5" i="9" s="1"/>
  <c r="S11" i="9" s="1"/>
  <c r="S18" i="9" s="1"/>
  <c r="X111" i="2"/>
  <c r="W8" i="6" s="1"/>
  <c r="AC111" i="2"/>
  <c r="AB5" i="9" s="1"/>
  <c r="AB11" i="9" s="1"/>
  <c r="Y111" i="2"/>
  <c r="X5" i="9" s="1"/>
  <c r="X11" i="9" s="1"/>
  <c r="S111" i="2"/>
  <c r="R5" i="9" s="1"/>
  <c r="R11" i="9" s="1"/>
  <c r="R18" i="9" s="1"/>
  <c r="W111" i="2"/>
  <c r="V5" i="9" s="1"/>
  <c r="V11" i="9" s="1"/>
  <c r="V18" i="9" s="1"/>
  <c r="O111" i="2"/>
  <c r="N8" i="6" s="1"/>
  <c r="P111" i="2"/>
  <c r="O5" i="9" s="1"/>
  <c r="O11" i="9" s="1"/>
  <c r="O18" i="9" s="1"/>
  <c r="H111" i="2"/>
  <c r="G8" i="6" s="1"/>
  <c r="R111" i="2"/>
  <c r="Q5" i="9" s="1"/>
  <c r="Q11" i="9" s="1"/>
  <c r="Q18" i="9" s="1"/>
  <c r="E111" i="2"/>
  <c r="D8" i="6" s="1"/>
  <c r="AD111" i="2"/>
  <c r="AC5" i="9" s="1"/>
  <c r="AC11" i="9" s="1"/>
  <c r="AC18" i="9" s="1"/>
  <c r="L111" i="2"/>
  <c r="K5" i="9" s="1"/>
  <c r="K11" i="9" s="1"/>
  <c r="K18" i="9" s="1"/>
  <c r="K25" i="9" s="1"/>
  <c r="K18" i="6" s="1"/>
  <c r="V111" i="2"/>
  <c r="U5" i="9" s="1"/>
  <c r="U11" i="9" s="1"/>
  <c r="AA111" i="2"/>
  <c r="Z5" i="9" s="1"/>
  <c r="Z11" i="9" s="1"/>
  <c r="Z18" i="9" s="1"/>
  <c r="Q111" i="2"/>
  <c r="P5" i="9" s="1"/>
  <c r="P11" i="9" s="1"/>
  <c r="U111" i="2"/>
  <c r="T5" i="9" s="1"/>
  <c r="T11" i="9" s="1"/>
  <c r="C18" i="9" l="1"/>
  <c r="C25" i="9" s="1"/>
  <c r="C10" i="4" s="1"/>
  <c r="H8" i="6"/>
  <c r="H7" i="8" s="1"/>
  <c r="N122" i="2"/>
  <c r="M14" i="8" s="1"/>
  <c r="L24" i="8"/>
  <c r="L25" i="8"/>
  <c r="N15" i="9"/>
  <c r="N20" i="9" s="1"/>
  <c r="P44" i="2"/>
  <c r="O115" i="2"/>
  <c r="O118" i="2" s="1"/>
  <c r="O122" i="2" s="1"/>
  <c r="N14" i="8" s="1"/>
  <c r="O43" i="2"/>
  <c r="M16" i="8"/>
  <c r="M19" i="8" s="1"/>
  <c r="N120" i="2"/>
  <c r="M9" i="6" s="1"/>
  <c r="AB8" i="6"/>
  <c r="W5" i="9"/>
  <c r="W11" i="9" s="1"/>
  <c r="W18" i="9" s="1"/>
  <c r="I8" i="6"/>
  <c r="I7" i="8" s="1"/>
  <c r="O8" i="6"/>
  <c r="L5" i="9"/>
  <c r="L11" i="9" s="1"/>
  <c r="L18" i="9" s="1"/>
  <c r="L25" i="9" s="1"/>
  <c r="L18" i="6" s="1"/>
  <c r="AC8" i="6"/>
  <c r="AF8" i="6"/>
  <c r="N5" i="9"/>
  <c r="N11" i="9" s="1"/>
  <c r="N18" i="9" s="1"/>
  <c r="M8" i="6"/>
  <c r="AA5" i="9"/>
  <c r="AA11" i="9" s="1"/>
  <c r="AA18" i="9" s="1"/>
  <c r="Z8" i="6"/>
  <c r="P8" i="6"/>
  <c r="K8" i="6"/>
  <c r="K7" i="8" s="1"/>
  <c r="U8" i="6"/>
  <c r="Y5" i="9"/>
  <c r="Y11" i="9" s="1"/>
  <c r="Y18" i="9" s="1"/>
  <c r="S8" i="6"/>
  <c r="AD8" i="6"/>
  <c r="V8" i="6"/>
  <c r="X8" i="6"/>
  <c r="D5" i="9"/>
  <c r="D11" i="9" s="1"/>
  <c r="D18" i="9" s="1"/>
  <c r="D25" i="9" s="1"/>
  <c r="D18" i="6" s="1"/>
  <c r="C8" i="6"/>
  <c r="C12" i="6" s="1"/>
  <c r="D7" i="6" s="1"/>
  <c r="D12" i="6" s="1"/>
  <c r="G5" i="9"/>
  <c r="G11" i="9" s="1"/>
  <c r="G18" i="9" s="1"/>
  <c r="G25" i="9" s="1"/>
  <c r="G18" i="6" s="1"/>
  <c r="F5" i="9"/>
  <c r="F11" i="9" s="1"/>
  <c r="F18" i="9" s="1"/>
  <c r="F25" i="9" s="1"/>
  <c r="F18" i="6" s="1"/>
  <c r="J8" i="6"/>
  <c r="J7" i="8" s="1"/>
  <c r="Q8" i="6"/>
  <c r="R8" i="6"/>
  <c r="E8" i="6"/>
  <c r="E6" i="4" s="1"/>
  <c r="T8" i="6"/>
  <c r="AE8" i="6"/>
  <c r="H10" i="4"/>
  <c r="D6" i="4"/>
  <c r="D7" i="8"/>
  <c r="AB18" i="9"/>
  <c r="T18" i="9"/>
  <c r="U18" i="9"/>
  <c r="I10" i="4"/>
  <c r="E18" i="9"/>
  <c r="E25" i="9" s="1"/>
  <c r="E18" i="6" s="1"/>
  <c r="L7" i="8"/>
  <c r="L6" i="4"/>
  <c r="K10" i="4"/>
  <c r="AD18" i="9"/>
  <c r="P18" i="9"/>
  <c r="G6" i="4"/>
  <c r="G7" i="8"/>
  <c r="X18" i="9"/>
  <c r="F6" i="4"/>
  <c r="F7" i="8"/>
  <c r="J18" i="9"/>
  <c r="J25" i="9" s="1"/>
  <c r="J18" i="6" s="1"/>
  <c r="C18" i="6" l="1"/>
  <c r="C19" i="6" s="1"/>
  <c r="C20" i="6" s="1"/>
  <c r="C23" i="6" s="1"/>
  <c r="L27" i="8"/>
  <c r="L6" i="8" s="1"/>
  <c r="H6" i="4"/>
  <c r="O120" i="2"/>
  <c r="N9" i="6" s="1"/>
  <c r="O15" i="9"/>
  <c r="O20" i="9" s="1"/>
  <c r="Q44" i="2"/>
  <c r="P115" i="2"/>
  <c r="P118" i="2" s="1"/>
  <c r="M7" i="9"/>
  <c r="M13" i="9" s="1"/>
  <c r="M7" i="8"/>
  <c r="M24" i="8"/>
  <c r="M25" i="8"/>
  <c r="P43" i="2"/>
  <c r="N16" i="8"/>
  <c r="N19" i="8" s="1"/>
  <c r="N25" i="8"/>
  <c r="I6" i="4"/>
  <c r="L10" i="4"/>
  <c r="J6" i="4"/>
  <c r="K6" i="4"/>
  <c r="E7" i="8"/>
  <c r="D10" i="4"/>
  <c r="F10" i="4"/>
  <c r="H10" i="6"/>
  <c r="G10" i="6"/>
  <c r="C6" i="4"/>
  <c r="K10" i="6"/>
  <c r="B7" i="5"/>
  <c r="B8" i="5" s="1"/>
  <c r="B10" i="5" s="1"/>
  <c r="J10" i="6"/>
  <c r="C10" i="6"/>
  <c r="L10" i="6"/>
  <c r="I10" i="6"/>
  <c r="C7" i="8"/>
  <c r="D10" i="6"/>
  <c r="F10" i="6"/>
  <c r="E10" i="6"/>
  <c r="J10" i="4"/>
  <c r="C7" i="5"/>
  <c r="E7" i="6"/>
  <c r="E12" i="6" s="1"/>
  <c r="G10" i="4"/>
  <c r="E10" i="4"/>
  <c r="D19" i="6" l="1"/>
  <c r="D20" i="6" s="1"/>
  <c r="N7" i="9"/>
  <c r="N13" i="9" s="1"/>
  <c r="N23" i="9" s="1"/>
  <c r="M10" i="6"/>
  <c r="N10" i="6"/>
  <c r="M6" i="4"/>
  <c r="N24" i="8"/>
  <c r="N27" i="8" s="1"/>
  <c r="N6" i="8" s="1"/>
  <c r="M27" i="8"/>
  <c r="M6" i="8" s="1"/>
  <c r="Q43" i="2"/>
  <c r="O16" i="8"/>
  <c r="O19" i="8" s="1"/>
  <c r="N6" i="4"/>
  <c r="N7" i="8"/>
  <c r="P122" i="2"/>
  <c r="O14" i="8" s="1"/>
  <c r="P120" i="2"/>
  <c r="O9" i="6" s="1"/>
  <c r="M23" i="9"/>
  <c r="M25" i="9" s="1"/>
  <c r="M18" i="6" s="1"/>
  <c r="P15" i="9"/>
  <c r="P20" i="9" s="1"/>
  <c r="R44" i="2"/>
  <c r="Q115" i="2"/>
  <c r="Q118" i="2" s="1"/>
  <c r="E8" i="7"/>
  <c r="D7" i="5"/>
  <c r="F7" i="6"/>
  <c r="F12" i="6" s="1"/>
  <c r="E19" i="6" l="1"/>
  <c r="E20" i="6" s="1"/>
  <c r="F19" i="6" s="1"/>
  <c r="F20" i="6" s="1"/>
  <c r="G19" i="6" s="1"/>
  <c r="G20" i="6" s="1"/>
  <c r="H19" i="6" s="1"/>
  <c r="H20" i="6" s="1"/>
  <c r="I19" i="6" s="1"/>
  <c r="I20" i="6" s="1"/>
  <c r="J19" i="6" s="1"/>
  <c r="J20" i="6" s="1"/>
  <c r="K19" i="6" s="1"/>
  <c r="K20" i="6" s="1"/>
  <c r="L19" i="6" s="1"/>
  <c r="L20" i="6" s="1"/>
  <c r="M19" i="6" s="1"/>
  <c r="M20" i="6" s="1"/>
  <c r="N25" i="9"/>
  <c r="N18" i="6" s="1"/>
  <c r="Q15" i="9"/>
  <c r="Q20" i="9" s="1"/>
  <c r="S44" i="2"/>
  <c r="R115" i="2"/>
  <c r="R118" i="2" s="1"/>
  <c r="P16" i="8"/>
  <c r="P19" i="8" s="1"/>
  <c r="R43" i="2"/>
  <c r="M10" i="4"/>
  <c r="O7" i="9"/>
  <c r="O13" i="9" s="1"/>
  <c r="O25" i="8"/>
  <c r="O24" i="8"/>
  <c r="Q122" i="2"/>
  <c r="P14" i="8" s="1"/>
  <c r="Q120" i="2"/>
  <c r="P9" i="6" s="1"/>
  <c r="E7" i="5"/>
  <c r="G7" i="6"/>
  <c r="G12" i="6" s="1"/>
  <c r="N19" i="6" l="1"/>
  <c r="N20" i="6" s="1"/>
  <c r="N10" i="4"/>
  <c r="O27" i="8"/>
  <c r="O6" i="8" s="1"/>
  <c r="O7" i="8"/>
  <c r="O6" i="4"/>
  <c r="O10" i="6"/>
  <c r="O23" i="9"/>
  <c r="O25" i="9" s="1"/>
  <c r="O18" i="6" s="1"/>
  <c r="P25" i="8"/>
  <c r="P24" i="8"/>
  <c r="R15" i="9"/>
  <c r="R20" i="9" s="1"/>
  <c r="T44" i="2"/>
  <c r="S115" i="2"/>
  <c r="S118" i="2" s="1"/>
  <c r="P7" i="9"/>
  <c r="P13" i="9" s="1"/>
  <c r="S43" i="2"/>
  <c r="Q16" i="8"/>
  <c r="Q19" i="8" s="1"/>
  <c r="R122" i="2"/>
  <c r="Q14" i="8" s="1"/>
  <c r="R120" i="2"/>
  <c r="Q9" i="6" s="1"/>
  <c r="F7" i="5"/>
  <c r="H7" i="6"/>
  <c r="H12" i="6" s="1"/>
  <c r="O19" i="6" l="1"/>
  <c r="O20" i="6" s="1"/>
  <c r="P27" i="8"/>
  <c r="P6" i="8" s="1"/>
  <c r="O10" i="4"/>
  <c r="P23" i="9"/>
  <c r="P25" i="9" s="1"/>
  <c r="P18" i="6" s="1"/>
  <c r="S120" i="2"/>
  <c r="R9" i="6" s="1"/>
  <c r="S122" i="2"/>
  <c r="R14" i="8" s="1"/>
  <c r="S15" i="9"/>
  <c r="S20" i="9" s="1"/>
  <c r="U44" i="2"/>
  <c r="T115" i="2"/>
  <c r="T118" i="2" s="1"/>
  <c r="Q25" i="8"/>
  <c r="Q24" i="8"/>
  <c r="P7" i="8"/>
  <c r="P6" i="4"/>
  <c r="Q7" i="9"/>
  <c r="Q13" i="9" s="1"/>
  <c r="Q10" i="6"/>
  <c r="P10" i="6"/>
  <c r="T43" i="2"/>
  <c r="R16" i="8"/>
  <c r="R19" i="8" s="1"/>
  <c r="G7" i="5"/>
  <c r="I7" i="6"/>
  <c r="I12" i="6" s="1"/>
  <c r="P19" i="6" l="1"/>
  <c r="P20" i="6" s="1"/>
  <c r="Q27" i="8"/>
  <c r="Q6" i="8" s="1"/>
  <c r="U43" i="2"/>
  <c r="S16" i="8"/>
  <c r="S19" i="8" s="1"/>
  <c r="Q6" i="4"/>
  <c r="Q7" i="8"/>
  <c r="P10" i="4"/>
  <c r="Q23" i="9"/>
  <c r="Q25" i="9" s="1"/>
  <c r="Q18" i="6" s="1"/>
  <c r="T122" i="2"/>
  <c r="S14" i="8" s="1"/>
  <c r="T120" i="2"/>
  <c r="S9" i="6" s="1"/>
  <c r="R25" i="8"/>
  <c r="R24" i="8"/>
  <c r="R7" i="9"/>
  <c r="R13" i="9" s="1"/>
  <c r="T15" i="9"/>
  <c r="T20" i="9" s="1"/>
  <c r="V44" i="2"/>
  <c r="U115" i="2"/>
  <c r="U118" i="2" s="1"/>
  <c r="J7" i="6"/>
  <c r="J12" i="6" s="1"/>
  <c r="H7" i="5"/>
  <c r="Q19" i="6" l="1"/>
  <c r="Q20" i="6" s="1"/>
  <c r="R27" i="8"/>
  <c r="R6" i="8" s="1"/>
  <c r="U120" i="2"/>
  <c r="T9" i="6" s="1"/>
  <c r="U122" i="2"/>
  <c r="T14" i="8" s="1"/>
  <c r="S24" i="8"/>
  <c r="S25" i="8"/>
  <c r="T16" i="8"/>
  <c r="T19" i="8" s="1"/>
  <c r="V43" i="2"/>
  <c r="U15" i="9"/>
  <c r="U20" i="9" s="1"/>
  <c r="W44" i="2"/>
  <c r="V115" i="2"/>
  <c r="V118" i="2" s="1"/>
  <c r="Q10" i="4"/>
  <c r="R23" i="9"/>
  <c r="R25" i="9" s="1"/>
  <c r="R18" i="6" s="1"/>
  <c r="R6" i="4"/>
  <c r="R7" i="8"/>
  <c r="S7" i="9"/>
  <c r="S13" i="9" s="1"/>
  <c r="S10" i="6"/>
  <c r="R10" i="6"/>
  <c r="I7" i="5"/>
  <c r="K7" i="6"/>
  <c r="K12" i="6" s="1"/>
  <c r="R19" i="6" l="1"/>
  <c r="R20" i="6" s="1"/>
  <c r="S27" i="8"/>
  <c r="S6" i="8" s="1"/>
  <c r="V15" i="9"/>
  <c r="V20" i="9" s="1"/>
  <c r="X44" i="2"/>
  <c r="W115" i="2"/>
  <c r="W118" i="2" s="1"/>
  <c r="S7" i="8"/>
  <c r="S6" i="4"/>
  <c r="S23" i="9"/>
  <c r="S25" i="9" s="1"/>
  <c r="S18" i="6" s="1"/>
  <c r="R10" i="4"/>
  <c r="V120" i="2"/>
  <c r="U9" i="6" s="1"/>
  <c r="V122" i="2"/>
  <c r="U14" i="8" s="1"/>
  <c r="T25" i="8"/>
  <c r="T24" i="8"/>
  <c r="T7" i="9"/>
  <c r="T13" i="9" s="1"/>
  <c r="W43" i="2"/>
  <c r="U16" i="8"/>
  <c r="U19" i="8" s="1"/>
  <c r="J7" i="5"/>
  <c r="L7" i="6"/>
  <c r="L12" i="6" s="1"/>
  <c r="S19" i="6" l="1"/>
  <c r="S20" i="6" s="1"/>
  <c r="T27" i="8"/>
  <c r="T6" i="8" s="1"/>
  <c r="S10" i="4"/>
  <c r="U7" i="9"/>
  <c r="U13" i="9" s="1"/>
  <c r="W15" i="9"/>
  <c r="W20" i="9" s="1"/>
  <c r="Y44" i="2"/>
  <c r="X115" i="2"/>
  <c r="X118" i="2" s="1"/>
  <c r="X43" i="2"/>
  <c r="V16" i="8"/>
  <c r="V19" i="8" s="1"/>
  <c r="T23" i="9"/>
  <c r="T25" i="9" s="1"/>
  <c r="T18" i="6" s="1"/>
  <c r="U24" i="8"/>
  <c r="U25" i="8"/>
  <c r="W120" i="2"/>
  <c r="V9" i="6" s="1"/>
  <c r="W122" i="2"/>
  <c r="V14" i="8" s="1"/>
  <c r="T6" i="4"/>
  <c r="T7" i="8"/>
  <c r="T10" i="6"/>
  <c r="M7" i="6"/>
  <c r="M12" i="6" s="1"/>
  <c r="K7" i="5"/>
  <c r="T19" i="6" l="1"/>
  <c r="T20" i="6" s="1"/>
  <c r="U27" i="8"/>
  <c r="U6" i="8" s="1"/>
  <c r="V24" i="8"/>
  <c r="V25" i="8"/>
  <c r="Y43" i="2"/>
  <c r="W16" i="8"/>
  <c r="W19" i="8" s="1"/>
  <c r="V7" i="9"/>
  <c r="V13" i="9" s="1"/>
  <c r="X122" i="2"/>
  <c r="W14" i="8" s="1"/>
  <c r="X120" i="2"/>
  <c r="W9" i="6" s="1"/>
  <c r="X15" i="9"/>
  <c r="X20" i="9" s="1"/>
  <c r="Z44" i="2"/>
  <c r="Y115" i="2"/>
  <c r="Y118" i="2" s="1"/>
  <c r="U6" i="4"/>
  <c r="U7" i="8"/>
  <c r="U10" i="6"/>
  <c r="T10" i="4"/>
  <c r="U23" i="9"/>
  <c r="U25" i="9" s="1"/>
  <c r="U18" i="6" s="1"/>
  <c r="U19" i="6" s="1"/>
  <c r="U20" i="6" s="1"/>
  <c r="L7" i="5"/>
  <c r="N7" i="6"/>
  <c r="N12" i="6" s="1"/>
  <c r="V27" i="8" l="1"/>
  <c r="V6" i="8" s="1"/>
  <c r="U10" i="4"/>
  <c r="V23" i="9"/>
  <c r="V25" i="9" s="1"/>
  <c r="V18" i="6" s="1"/>
  <c r="V19" i="6" s="1"/>
  <c r="V20" i="6" s="1"/>
  <c r="V7" i="8"/>
  <c r="V6" i="4"/>
  <c r="Y122" i="2"/>
  <c r="X14" i="8" s="1"/>
  <c r="Y120" i="2"/>
  <c r="X9" i="6" s="1"/>
  <c r="Y15" i="9"/>
  <c r="Y20" i="9" s="1"/>
  <c r="AA44" i="2"/>
  <c r="Z115" i="2"/>
  <c r="Z118" i="2" s="1"/>
  <c r="Z43" i="2"/>
  <c r="X16" i="8"/>
  <c r="X19" i="8" s="1"/>
  <c r="V10" i="6"/>
  <c r="W7" i="9"/>
  <c r="W13" i="9" s="1"/>
  <c r="W10" i="6"/>
  <c r="W24" i="8"/>
  <c r="W25" i="8"/>
  <c r="M7" i="5"/>
  <c r="O7" i="6"/>
  <c r="O12" i="6" s="1"/>
  <c r="W27" i="8" l="1"/>
  <c r="W6" i="8" s="1"/>
  <c r="Z15" i="9"/>
  <c r="Z20" i="9" s="1"/>
  <c r="AB44" i="2"/>
  <c r="AA115" i="2"/>
  <c r="AA118" i="2" s="1"/>
  <c r="AA43" i="2"/>
  <c r="Y16" i="8"/>
  <c r="Y19" i="8" s="1"/>
  <c r="V10" i="4"/>
  <c r="Z120" i="2"/>
  <c r="Y9" i="6" s="1"/>
  <c r="Z122" i="2"/>
  <c r="Y14" i="8" s="1"/>
  <c r="X7" i="9"/>
  <c r="X13" i="9" s="1"/>
  <c r="W23" i="9"/>
  <c r="W25" i="9" s="1"/>
  <c r="W18" i="6" s="1"/>
  <c r="W19" i="6" s="1"/>
  <c r="W20" i="6" s="1"/>
  <c r="W7" i="8"/>
  <c r="W6" i="4"/>
  <c r="X24" i="8"/>
  <c r="X25" i="8"/>
  <c r="N7" i="5"/>
  <c r="P7" i="6"/>
  <c r="P12" i="6" s="1"/>
  <c r="X27" i="8" l="1"/>
  <c r="X6" i="8" s="1"/>
  <c r="W10" i="4"/>
  <c r="X6" i="4"/>
  <c r="X7" i="8"/>
  <c r="X10" i="6"/>
  <c r="AA120" i="2"/>
  <c r="Z9" i="6" s="1"/>
  <c r="AA122" i="2"/>
  <c r="Z14" i="8" s="1"/>
  <c r="X23" i="9"/>
  <c r="X25" i="9" s="1"/>
  <c r="X18" i="6" s="1"/>
  <c r="X19" i="6" s="1"/>
  <c r="X20" i="6" s="1"/>
  <c r="Z16" i="8"/>
  <c r="Z19" i="8" s="1"/>
  <c r="AB43" i="2"/>
  <c r="Y24" i="8"/>
  <c r="Y25" i="8"/>
  <c r="AA15" i="9"/>
  <c r="AA20" i="9" s="1"/>
  <c r="AC44" i="2"/>
  <c r="AB115" i="2"/>
  <c r="AB118" i="2" s="1"/>
  <c r="Y7" i="9"/>
  <c r="Y13" i="9" s="1"/>
  <c r="O7" i="5"/>
  <c r="Q7" i="6"/>
  <c r="Q12" i="6" s="1"/>
  <c r="Y27" i="8" l="1"/>
  <c r="Y6" i="8" s="1"/>
  <c r="Y7" i="8"/>
  <c r="Y6" i="4"/>
  <c r="Y10" i="6"/>
  <c r="AC43" i="2"/>
  <c r="AA16" i="8"/>
  <c r="AA19" i="8" s="1"/>
  <c r="AB120" i="2"/>
  <c r="AA9" i="6" s="1"/>
  <c r="AB122" i="2"/>
  <c r="AA14" i="8" s="1"/>
  <c r="X10" i="4"/>
  <c r="AB15" i="9"/>
  <c r="AB20" i="9" s="1"/>
  <c r="AD44" i="2"/>
  <c r="AC115" i="2"/>
  <c r="AC118" i="2" s="1"/>
  <c r="Z7" i="9"/>
  <c r="Z13" i="9" s="1"/>
  <c r="Y23" i="9"/>
  <c r="Y25" i="9" s="1"/>
  <c r="Y18" i="6" s="1"/>
  <c r="Y19" i="6" s="1"/>
  <c r="Y20" i="6" s="1"/>
  <c r="Z25" i="8"/>
  <c r="Z24" i="8"/>
  <c r="P7" i="5"/>
  <c r="R7" i="6"/>
  <c r="R12" i="6" s="1"/>
  <c r="Z27" i="8" l="1"/>
  <c r="Z6" i="8" s="1"/>
  <c r="AA7" i="9"/>
  <c r="AA13" i="9" s="1"/>
  <c r="Z6" i="4"/>
  <c r="Z7" i="8"/>
  <c r="Z10" i="6"/>
  <c r="Z23" i="9"/>
  <c r="Z25" i="9" s="1"/>
  <c r="Z18" i="6" s="1"/>
  <c r="Z19" i="6" s="1"/>
  <c r="Z20" i="6" s="1"/>
  <c r="AD43" i="2"/>
  <c r="AB16" i="8"/>
  <c r="AB19" i="8" s="1"/>
  <c r="AA25" i="8"/>
  <c r="AA24" i="8"/>
  <c r="AC15" i="9"/>
  <c r="AC20" i="9" s="1"/>
  <c r="AE44" i="2"/>
  <c r="AD115" i="2"/>
  <c r="AD118" i="2" s="1"/>
  <c r="AC120" i="2"/>
  <c r="AB9" i="6" s="1"/>
  <c r="AC122" i="2"/>
  <c r="AB14" i="8" s="1"/>
  <c r="Y10" i="4"/>
  <c r="Q7" i="5"/>
  <c r="S7" i="6"/>
  <c r="S12" i="6" s="1"/>
  <c r="AA27" i="8" l="1"/>
  <c r="AA6" i="8" s="1"/>
  <c r="AD120" i="2"/>
  <c r="AC9" i="6" s="1"/>
  <c r="AD122" i="2"/>
  <c r="AC14" i="8" s="1"/>
  <c r="AD15" i="9"/>
  <c r="AD20" i="9" s="1"/>
  <c r="AF44" i="2"/>
  <c r="AE115" i="2"/>
  <c r="AE118" i="2" s="1"/>
  <c r="AA6" i="4"/>
  <c r="AA7" i="8"/>
  <c r="AA10" i="6"/>
  <c r="AA23" i="9"/>
  <c r="AA25" i="9" s="1"/>
  <c r="AA18" i="6" s="1"/>
  <c r="AA19" i="6" s="1"/>
  <c r="AA20" i="6" s="1"/>
  <c r="Z10" i="4"/>
  <c r="AB24" i="8"/>
  <c r="AB25" i="8"/>
  <c r="AB7" i="9"/>
  <c r="AB13" i="9" s="1"/>
  <c r="AE43" i="2"/>
  <c r="AC16" i="8"/>
  <c r="AC19" i="8" s="1"/>
  <c r="R7" i="5"/>
  <c r="T7" i="6"/>
  <c r="T12" i="6" s="1"/>
  <c r="AB27" i="8" l="1"/>
  <c r="AB6" i="8" s="1"/>
  <c r="AE15" i="9"/>
  <c r="AE20" i="9" s="1"/>
  <c r="AG44" i="2"/>
  <c r="AF115" i="2"/>
  <c r="AF118" i="2" s="1"/>
  <c r="AE120" i="2"/>
  <c r="AD9" i="6" s="1"/>
  <c r="AE122" i="2"/>
  <c r="AD14" i="8" s="1"/>
  <c r="AC24" i="8"/>
  <c r="AC25" i="8"/>
  <c r="AA10" i="4"/>
  <c r="AC7" i="9"/>
  <c r="AC13" i="9" s="1"/>
  <c r="AD16" i="8"/>
  <c r="AD19" i="8" s="1"/>
  <c r="AF43" i="2"/>
  <c r="AB6" i="4"/>
  <c r="AB7" i="8"/>
  <c r="AB10" i="6"/>
  <c r="AB23" i="9"/>
  <c r="AB25" i="9" s="1"/>
  <c r="AB18" i="6" s="1"/>
  <c r="AB19" i="6" s="1"/>
  <c r="AB20" i="6" s="1"/>
  <c r="U7" i="6"/>
  <c r="U12" i="6" s="1"/>
  <c r="S7" i="5"/>
  <c r="AC27" i="8" l="1"/>
  <c r="AC6" i="8" s="1"/>
  <c r="AC23" i="9"/>
  <c r="AC25" i="9" s="1"/>
  <c r="AC18" i="6" s="1"/>
  <c r="AC19" i="6" s="1"/>
  <c r="AC20" i="6" s="1"/>
  <c r="AC6" i="4"/>
  <c r="AC7" i="8"/>
  <c r="AC10" i="6"/>
  <c r="AD24" i="8"/>
  <c r="AD25" i="8"/>
  <c r="AF15" i="9"/>
  <c r="AF20" i="9" s="1"/>
  <c r="AG115" i="2"/>
  <c r="AG118" i="2" s="1"/>
  <c r="AD7" i="9"/>
  <c r="AD13" i="9" s="1"/>
  <c r="AF122" i="2"/>
  <c r="AE14" i="8" s="1"/>
  <c r="AF120" i="2"/>
  <c r="AE9" i="6" s="1"/>
  <c r="AG43" i="2"/>
  <c r="AE16" i="8"/>
  <c r="AE19" i="8" s="1"/>
  <c r="AB10" i="4"/>
  <c r="V7" i="6"/>
  <c r="V12" i="6" s="1"/>
  <c r="T7" i="5"/>
  <c r="AD27" i="8" l="1"/>
  <c r="AD6" i="8" s="1"/>
  <c r="AC10" i="4"/>
  <c r="AD6" i="4"/>
  <c r="AD7" i="8"/>
  <c r="AD10" i="6"/>
  <c r="AD23" i="9"/>
  <c r="AD25" i="9" s="1"/>
  <c r="AD18" i="6" s="1"/>
  <c r="AD19" i="6" s="1"/>
  <c r="AD20" i="6" s="1"/>
  <c r="AG120" i="2"/>
  <c r="AF9" i="6" s="1"/>
  <c r="AG122" i="2"/>
  <c r="AF14" i="8" s="1"/>
  <c r="AE7" i="9"/>
  <c r="AE13" i="9" s="1"/>
  <c r="AE24" i="8"/>
  <c r="AE25" i="8"/>
  <c r="AF16" i="8"/>
  <c r="AF19" i="8" s="1"/>
  <c r="W7" i="6"/>
  <c r="W12" i="6" s="1"/>
  <c r="U7" i="5"/>
  <c r="AE27" i="8" l="1"/>
  <c r="AE6" i="8" s="1"/>
  <c r="AD10" i="4"/>
  <c r="AE7" i="8"/>
  <c r="AE6" i="4"/>
  <c r="AE10" i="6"/>
  <c r="AF7" i="9"/>
  <c r="AF13" i="9" s="1"/>
  <c r="AE23" i="9"/>
  <c r="AE25" i="9" s="1"/>
  <c r="AE18" i="6" s="1"/>
  <c r="AE19" i="6" s="1"/>
  <c r="AE20" i="6" s="1"/>
  <c r="AF25" i="8"/>
  <c r="AF24" i="8"/>
  <c r="V7" i="5"/>
  <c r="X7" i="6"/>
  <c r="X12" i="6" s="1"/>
  <c r="AF27" i="8" l="1"/>
  <c r="AF6" i="8" s="1"/>
  <c r="AF7" i="8"/>
  <c r="AF6" i="4"/>
  <c r="AF10" i="6"/>
  <c r="AE10" i="4"/>
  <c r="AF23" i="9"/>
  <c r="AF25" i="9" s="1"/>
  <c r="AF18" i="6" s="1"/>
  <c r="AF19" i="6" s="1"/>
  <c r="AF20" i="6" s="1"/>
  <c r="Y7" i="6"/>
  <c r="Y12" i="6" s="1"/>
  <c r="W7" i="5"/>
  <c r="AF10" i="4" l="1"/>
  <c r="X7" i="5"/>
  <c r="Z7" i="6"/>
  <c r="Z12" i="6" s="1"/>
  <c r="Y7" i="5" l="1"/>
  <c r="AA7" i="6"/>
  <c r="AA12" i="6" s="1"/>
  <c r="Z7" i="5" l="1"/>
  <c r="AB7" i="6"/>
  <c r="AB12" i="6" s="1"/>
  <c r="AA7" i="5" l="1"/>
  <c r="AC7" i="6"/>
  <c r="AC12" i="6" s="1"/>
  <c r="AB7" i="5" l="1"/>
  <c r="AD7" i="6"/>
  <c r="AD12" i="6" s="1"/>
  <c r="AC7" i="5" l="1"/>
  <c r="AE7" i="6"/>
  <c r="AE12" i="6" s="1"/>
  <c r="AD7" i="5" l="1"/>
  <c r="AF7" i="6"/>
  <c r="AF12" i="6" s="1"/>
  <c r="AE7" i="5" l="1"/>
  <c r="C6" i="5" l="1"/>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<sst xmlns="http://schemas.openxmlformats.org/spreadsheetml/2006/main" count="277" uniqueCount="204">
  <si>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</si>
  <si>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</si>
  <si>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</si>
  <si>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</si>
  <si>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</si>
  <si>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</si>
  <si>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</si>
  <si>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</si>
  <si>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</si>
  <si>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</si>
  <si>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</si>
  <si>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</si>
  <si>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</si>
  <si>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</si>
  <si>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</si>
  <si>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</si>
  <si>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</si>
  <si>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</si>
  <si>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</si>
  <si>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</si>
  <si>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</si>
  <si>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</si>
  <si>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</si>
  <si>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</si>
  <si>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</si>
  <si>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</si>
  <si>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</si>
  <si>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</si>
  <si>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</si>
  <si>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</si>
  <si>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</si>
  <si>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</si>
  <si>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</si>
  <si>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</si>
  <si>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</si>
  <si>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</si>
  <si>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</si>
  <si>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</si>
  <si>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</si>
  <si>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</si>
  <si>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</si>
  <si>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</si>
  <si>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</si>
  <si>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</si>
  <si>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</si>
  <si>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</si>
  <si>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</si>
  <si>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</si>
  <si>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</si>
  <si>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</si>
  <si>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</si>
  <si>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</si>
  <si>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</si>
  <si>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</si>
  <si>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</si>
  <si>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</si>
  <si>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</si>
  <si>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</si>
  <si>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</si>
  <si>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</si>
  <si>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</si>
  <si>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</si>
  <si>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</si>
  <si>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</si>
  <si>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</si>
  <si>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</si>
  <si>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</si>
  <si>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</si>
  <si>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</si>
  <si>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</si>
  <si>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</si>
  <si>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</si>
  <si>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</si>
  <si>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</si>
  <si>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</si>
  <si>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</si>
  <si>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</si>
  <si>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</si>
  <si>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</si>
  <si>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</si>
  <si>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</si>
  <si>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</si>
  <si>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</si>
  <si>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</si>
  <si>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</si>
  <si>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</si>
  <si>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</si>
  <si>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</si>
  <si>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</si>
  <si>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</si>
  <si>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</si>
  <si>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</si>
  <si>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</si>
  <si>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</si>
  <si>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</si>
  <si>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</si>
  <si>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</si>
  <si>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</si>
  <si>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</si>
  <si>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</si>
  <si>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</si>
  <si>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</si>
  <si>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</si>
  <si>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</si>
  <si>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</si>
  <si>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</si>
  <si>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</si>
  <si>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</si>
  <si>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</si>
  <si>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</si>
  <si>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</si>
  <si>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</si>
  <si>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</si>
  <si>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</si>
  <si>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</si>
  <si>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</si>
  <si>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</si>
  <si>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</si>
  <si>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</si>
  <si>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</si>
  <si>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</si>
  <si>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</si>
  <si>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</si>
  <si>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</si>
  <si>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</si>
  <si>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</si>
  <si>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</si>
  <si>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</si>
  <si>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</si>
  <si>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Consistent with reaching a percentage split of 70% for long life assets by 2051. This is split is in line with international experience</t>
  </si>
  <si>
    <t>Consistent with reaching a percentage split of 30% for short-medium life assets by 2051. This is split is in line with international experience</t>
  </si>
  <si>
    <t>Based on observed experience from GB for entities of such a scale</t>
  </si>
  <si>
    <t xml:space="preserve">Optimised replacement cost </t>
  </si>
  <si>
    <t>RFI Table A3; Line A3.58</t>
  </si>
  <si>
    <t>RFI Table J1; Sum of lines J1.1 to J1.30 (Column I)</t>
  </si>
  <si>
    <t>RFI Table J1; Sum of lines J1.1 to J1.30 (Column J)</t>
  </si>
  <si>
    <t>RFI Table F10; Lines F10.62 + F10.70</t>
  </si>
  <si>
    <t>RFI Table F3; Line F3.20</t>
  </si>
  <si>
    <t>RFI Table G1; Calculated from additional properties connected in the year (line G1.3b) divided by properties served in 2019/20</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</si>
  <si>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</si>
  <si>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</si>
  <si>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</si>
  <si>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</si>
  <si>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</si>
  <si>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</si>
  <si>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</si>
  <si>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</si>
  <si>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</si>
  <si>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</si>
  <si>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</si>
  <si>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</si>
  <si>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</si>
  <si>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</si>
  <si>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</si>
  <si>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</si>
  <si>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</si>
  <si>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</si>
  <si>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</si>
  <si>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</si>
  <si>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</si>
  <si>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</si>
  <si>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</si>
  <si>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</si>
  <si>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</si>
  <si>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</si>
  <si>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</si>
  <si>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</si>
  <si>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</si>
  <si>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</si>
  <si>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</si>
  <si>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</si>
  <si>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</si>
  <si>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</si>
  <si>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</si>
  <si>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</si>
  <si>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</si>
  <si>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RFI Table G1; Line G1.3 
As forecasts were not provided for 2032-51, the average annual growth investment over 2022-31 is assumed to continue over 2032-51.</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</si>
  <si>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</si>
  <si>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</si>
  <si>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</si>
  <si>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</si>
  <si>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</si>
  <si>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</si>
  <si>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</si>
  <si>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</si>
  <si>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</si>
  <si>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</si>
  <si>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</si>
  <si>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</si>
  <si>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</si>
  <si>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</si>
  <si>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</si>
  <si>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</si>
  <si>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</si>
  <si>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</si>
  <si>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RFI Table E1, E2 and E2b; Lines E1.22 + E2.21 + E2b.21</t>
  </si>
  <si>
    <t>Source / note</t>
  </si>
  <si>
    <t>RFI Table A1; Line A1.47</t>
  </si>
  <si>
    <t>Chatham Islands Stand-alone Council</t>
  </si>
  <si>
    <t>New Zealand wide assumption based on the observed split in Great Britain</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</si>
  <si>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</si>
  <si>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</si>
  <si>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Calculated from the growth projections from the RFI Table G; line G1.3b</t>
  </si>
  <si>
    <t>Assumed inflation of 2.2% per annum from DIA's commercial and financial advisors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</si>
</sst>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3"/>
      <color rgb="FF00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93">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0" fontId="0" fillId="0" borderId="0" xfId="0" applyAlignment="1">
      <alignment horizontal="right"/>
    </xf>
    <xf numFmtId="0" fontId="16" fillId="0" borderId="0" xfId="0" applyFont="1" applyAlignment="1">
      <alignment horizontal="right"/>
    </xf>
    <xf numFmtId="166" fontId="16" fillId="0" borderId="0" xfId="2" applyNumberFormat="1" applyFont="1" applyFill="1" applyAlignment="1">
      <alignment horizontal="right"/>
    </xf>
    <xf numFmtId="9" fontId="16" fillId="0" borderId="0" xfId="3" applyFont="1" applyFill="1" applyAlignment="1">
      <alignment horizontal="right"/>
    </xf>
    <xf numFmtId="167" fontId="16" fillId="0" borderId="0" xfId="0" applyNumberFormat="1" applyFont="1" applyAlignment="1">
      <alignment horizontal="right"/>
    </xf>
    <xf numFmtId="3" fontId="16" fillId="0" borderId="0" xfId="1" applyNumberFormat="1" applyFont="1" applyFill="1" applyAlignment="1">
      <alignment horizontal="right"/>
    </xf>
    <xf numFmtId="0" fontId="16" fillId="0" borderId="0" xfId="0" applyFont="1" applyFill="1" applyAlignment="1">
      <alignment horizontal="right"/>
    </xf>
    <xf numFmtId="166" fontId="17" fillId="0" borderId="0" xfId="2" applyNumberFormat="1" applyFont="1" applyFill="1" applyAlignment="1">
      <alignment horizontal="right"/>
    </xf>
    <xf numFmtId="173" fontId="16" fillId="0" borderId="0" xfId="0" applyNumberFormat="1" applyFont="1" applyFill="1" applyAlignment="1">
      <alignment horizontal="right"/>
    </xf>
    <xf numFmtId="167" fontId="16" fillId="0" borderId="0" xfId="0" applyNumberFormat="1" applyFont="1" applyFill="1" applyAlignment="1">
      <alignment horizontal="right"/>
    </xf>
    <xf numFmtId="0" fontId="17" fillId="0" borderId="0" xfId="0" applyFont="1" applyFill="1" applyAlignment="1">
      <alignment horizontal="right"/>
    </xf>
    <xf numFmtId="0" fontId="18" fillId="0" borderId="0" xfId="0" applyFont="1" applyAlignment="1">
      <alignment horizontal="left" vertical="center" wrapText="1"/>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Normal="100" workbookViewId="0">
      <selection sqref="A1:XFD1048576"/>
    </sheetView>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94</v>
      </c>
      <c r="D1" s="61"/>
      <c r="E1" s="61"/>
      <c r="F1" s="61"/>
    </row>
    <row r="2" spans="1:6" x14ac:dyDescent="0.35">
      <c r="A2" s="63" t="s">
        <v>95</v>
      </c>
      <c r="B2" s="60" t="s">
        <v>198</v>
      </c>
      <c r="C2" s="171"/>
      <c r="D2" s="60"/>
      <c r="E2" s="14"/>
      <c r="F2" s="60"/>
    </row>
    <row r="3" spans="1:6" x14ac:dyDescent="0.35">
      <c r="C3" s="14"/>
      <c r="D3" s="14"/>
    </row>
    <row r="4" spans="1:6" x14ac:dyDescent="0.35">
      <c r="A4" s="14" t="s">
        <v>158</v>
      </c>
      <c r="B4" s="14"/>
      <c r="D4" s="14"/>
    </row>
    <row r="6" spans="1:6" ht="21" x14ac:dyDescent="0.5">
      <c r="A6" s="15" t="s">
        <v>167</v>
      </c>
    </row>
    <row r="7" spans="1:6" ht="241" customHeight="1" x14ac:dyDescent="0.35">
      <c r="A7" s="107">
        <v>1</v>
      </c>
      <c r="B7" s="104" t="s">
        <v>168</v>
      </c>
    </row>
    <row r="8" spans="1:6" ht="408" customHeight="1" x14ac:dyDescent="0.35">
      <c r="A8" s="107">
        <v>2</v>
      </c>
      <c r="B8" s="104" t="s">
        <v>189</v>
      </c>
    </row>
    <row r="9" spans="1:6" ht="195.5" customHeight="1" x14ac:dyDescent="0.35">
      <c r="A9" s="107">
        <f>A8+1</f>
        <v>3</v>
      </c>
      <c r="B9" s="105" t="s">
        <v>172</v>
      </c>
    </row>
    <row r="10" spans="1:6" ht="236" customHeight="1" x14ac:dyDescent="0.35">
      <c r="A10" s="107">
        <v>4</v>
      </c>
      <c r="B10" s="105" t="s">
        <v>173</v>
      </c>
    </row>
    <row r="11" spans="1:6" ht="21" x14ac:dyDescent="0.35">
      <c r="A11" s="107">
        <f>A10+1</f>
        <v>5</v>
      </c>
      <c r="B11" s="63" t="s">
        <v>187</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164</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190</v>
      </c>
      <c r="B6" s="1">
        <f>Assumptions!C17</f>
        <v>16407750</v>
      </c>
      <c r="C6" s="12">
        <f ca="1">B6+Depreciation!C18+'Cash Flow'!C13</f>
        <v>16162435.021295968</v>
      </c>
      <c r="D6" s="1">
        <f ca="1">C6+Depreciation!D18</f>
        <v>16952314.400070813</v>
      </c>
      <c r="E6" s="1">
        <f ca="1">D6+Depreciation!E18</f>
        <v>17779779.892368048</v>
      </c>
      <c r="F6" s="1">
        <f ca="1">E6+Depreciation!F18</f>
        <v>18646428.172969248</v>
      </c>
      <c r="G6" s="1">
        <f ca="1">F6+Depreciation!G18</f>
        <v>19553919.615661751</v>
      </c>
      <c r="H6" s="1">
        <f ca="1">G6+Depreciation!H18</f>
        <v>20503980.734980069</v>
      </c>
      <c r="I6" s="1">
        <f ca="1">H6+Depreciation!I18</f>
        <v>21498406.718990933</v>
      </c>
      <c r="J6" s="1">
        <f ca="1">I6+Depreciation!J18</f>
        <v>22539064.056448486</v>
      </c>
      <c r="K6" s="1">
        <f ca="1">J6+Depreciation!K18</f>
        <v>23627893.261765685</v>
      </c>
      <c r="L6" s="1">
        <f ca="1">K6+Depreciation!L18</f>
        <v>24766911.701371994</v>
      </c>
      <c r="M6" s="1">
        <f ca="1">L6+Depreciation!M18</f>
        <v>25958216.525155671</v>
      </c>
      <c r="N6" s="1">
        <f ca="1">M6+Depreciation!N18</f>
        <v>27203987.706821911</v>
      </c>
      <c r="O6" s="1">
        <f ca="1">N6+Depreciation!O18</f>
        <v>28506491.197135642</v>
      </c>
      <c r="P6" s="1">
        <f ca="1">O6+Depreciation!P18</f>
        <v>29868082.194160279</v>
      </c>
      <c r="Q6" s="1">
        <f ca="1">P6+Depreciation!Q18</f>
        <v>31291208.534751236</v>
      </c>
      <c r="R6" s="1">
        <f ca="1">Q6+Depreciation!R18</f>
        <v>32778414.21171581</v>
      </c>
      <c r="S6" s="1">
        <f ca="1">R6+Depreciation!S18</f>
        <v>34332343.021209143</v>
      </c>
      <c r="T6" s="1">
        <f ca="1">S6+Depreciation!T18</f>
        <v>35955742.345099866</v>
      </c>
      <c r="U6" s="1">
        <f ca="1">T6+Depreciation!U18</f>
        <v>37651467.073208489</v>
      </c>
      <c r="V6" s="1">
        <f ca="1">U6+Depreciation!V18</f>
        <v>39422483.670497291</v>
      </c>
      <c r="W6" s="1">
        <f ca="1">V6+Depreciation!W18</f>
        <v>41271874.394472219</v>
      </c>
      <c r="X6" s="1">
        <f ca="1">W6+Depreciation!X18</f>
        <v>43202841.668245569</v>
      </c>
      <c r="Y6" s="1">
        <f ca="1">X6+Depreciation!Y18</f>
        <v>45218712.614903085</v>
      </c>
      <c r="Z6" s="1">
        <f ca="1">Y6+Depreciation!Z18</f>
        <v>47322943.759021014</v>
      </c>
      <c r="AA6" s="1">
        <f ca="1">Z6+Depreciation!AA18</f>
        <v>49519125.901387438</v>
      </c>
      <c r="AB6" s="1">
        <f ca="1">AA6+Depreciation!AB18</f>
        <v>51810989.173198685</v>
      </c>
      <c r="AC6" s="1">
        <f ca="1">AB6+Depreciation!AC18</f>
        <v>54202408.276225448</v>
      </c>
      <c r="AD6" s="1">
        <f ca="1">AC6+Depreciation!AD18</f>
        <v>56697407.915675178</v>
      </c>
      <c r="AE6" s="1">
        <f ca="1">AD6+Depreciation!AE18</f>
        <v>59300168.43271745</v>
      </c>
      <c r="AF6" s="1"/>
      <c r="AG6" s="1"/>
      <c r="AH6" s="1"/>
      <c r="AI6" s="1"/>
      <c r="AJ6" s="1"/>
      <c r="AK6" s="1"/>
      <c r="AL6" s="1"/>
      <c r="AM6" s="1"/>
      <c r="AN6" s="1"/>
      <c r="AO6" s="1"/>
      <c r="AP6" s="1"/>
    </row>
    <row r="7" spans="1:42" x14ac:dyDescent="0.35">
      <c r="A7" t="s">
        <v>12</v>
      </c>
      <c r="B7" s="1">
        <f>Depreciation!C12</f>
        <v>8476103.5949368626</v>
      </c>
      <c r="C7" s="1">
        <f>Depreciation!D12</f>
        <v>8768971.7737117056</v>
      </c>
      <c r="D7" s="1">
        <f>Depreciation!E12</f>
        <v>9083521.7076089419</v>
      </c>
      <c r="E7" s="1">
        <f>Depreciation!F12</f>
        <v>9420841.1319413427</v>
      </c>
      <c r="F7" s="1">
        <f>Depreciation!G12</f>
        <v>9782065.1949644443</v>
      </c>
      <c r="G7" s="1">
        <f>Depreciation!H12</f>
        <v>10168378.378463937</v>
      </c>
      <c r="H7" s="1">
        <f>Depreciation!I12</f>
        <v>10581016.492709775</v>
      </c>
      <c r="I7" s="1">
        <f>Depreciation!J12</f>
        <v>11021268.74856982</v>
      </c>
      <c r="J7" s="1">
        <f>Depreciation!K12</f>
        <v>11490479.909678394</v>
      </c>
      <c r="K7" s="1">
        <f>Depreciation!L12</f>
        <v>11990052.527661402</v>
      </c>
      <c r="L7" s="1">
        <f>Depreciation!M12</f>
        <v>12521449.263529832</v>
      </c>
      <c r="M7" s="1">
        <f>Depreciation!N12</f>
        <v>13086195.298467536</v>
      </c>
      <c r="N7" s="1">
        <f>Depreciation!O12</f>
        <v>13685880.837357419</v>
      </c>
      <c r="O7" s="1">
        <f>Depreciation!P12</f>
        <v>14322163.708512643</v>
      </c>
      <c r="P7" s="1">
        <f>Depreciation!Q12</f>
        <v>14996772.063206369</v>
      </c>
      <c r="Q7" s="1">
        <f>Depreciation!R12</f>
        <v>15711507.178724997</v>
      </c>
      <c r="R7" s="1">
        <f>Depreciation!S12</f>
        <v>16468246.368806114</v>
      </c>
      <c r="S7" s="1">
        <f>Depreciation!T12</f>
        <v>17268946.005463429</v>
      </c>
      <c r="T7" s="1">
        <f>Depreciation!U12</f>
        <v>18115644.656347174</v>
      </c>
      <c r="U7" s="1">
        <f>Depreciation!V12</f>
        <v>19010466.341939908</v>
      </c>
      <c r="V7" s="1">
        <f>Depreciation!W12</f>
        <v>19955623.917044494</v>
      </c>
      <c r="W7" s="1">
        <f>Depreciation!X12</f>
        <v>20953422.58118365</v>
      </c>
      <c r="X7" s="1">
        <f>Depreciation!Y12</f>
        <v>22006263.522698678</v>
      </c>
      <c r="Y7" s="1">
        <f>Depreciation!Z12</f>
        <v>23116647.701509554</v>
      </c>
      <c r="Z7" s="1">
        <f>Depreciation!AA12</f>
        <v>24287179.775679104</v>
      </c>
      <c r="AA7" s="1">
        <f>Depreciation!AB12</f>
        <v>25520572.177111179</v>
      </c>
      <c r="AB7" s="1">
        <f>Depreciation!AC12</f>
        <v>26819649.34190663</v>
      </c>
      <c r="AC7" s="1">
        <f>Depreciation!AD12</f>
        <v>28187352.101101652</v>
      </c>
      <c r="AD7" s="1">
        <f>Depreciation!AE12</f>
        <v>29626742.237721063</v>
      </c>
      <c r="AE7" s="1">
        <f>Depreciation!AF12</f>
        <v>31141007.216294609</v>
      </c>
      <c r="AF7" s="1"/>
      <c r="AG7" s="1"/>
      <c r="AH7" s="1"/>
      <c r="AI7" s="1"/>
      <c r="AJ7" s="1"/>
      <c r="AK7" s="1"/>
      <c r="AL7" s="1"/>
      <c r="AM7" s="1"/>
      <c r="AN7" s="1"/>
      <c r="AO7" s="1"/>
      <c r="AP7" s="1"/>
    </row>
    <row r="8" spans="1:42" x14ac:dyDescent="0.35">
      <c r="A8" t="s">
        <v>191</v>
      </c>
      <c r="B8" s="1">
        <f t="shared" ref="B8:AE8" si="1">B6-B7</f>
        <v>7931646.4050631374</v>
      </c>
      <c r="C8" s="1">
        <f t="shared" ca="1" si="1"/>
        <v>7393463.2475842629</v>
      </c>
      <c r="D8" s="1">
        <f ca="1">D6-D7</f>
        <v>7868792.6924618706</v>
      </c>
      <c r="E8" s="1">
        <f t="shared" ca="1" si="1"/>
        <v>8358938.7604267057</v>
      </c>
      <c r="F8" s="1">
        <f t="shared" ca="1" si="1"/>
        <v>8864362.9780048039</v>
      </c>
      <c r="G8" s="1">
        <f t="shared" ca="1" si="1"/>
        <v>9385541.2371978145</v>
      </c>
      <c r="H8" s="1">
        <f t="shared" ca="1" si="1"/>
        <v>9922964.2422702946</v>
      </c>
      <c r="I8" s="1">
        <f t="shared" ca="1" si="1"/>
        <v>10477137.970421113</v>
      </c>
      <c r="J8" s="1">
        <f t="shared" ca="1" si="1"/>
        <v>11048584.146770092</v>
      </c>
      <c r="K8" s="1">
        <f t="shared" ca="1" si="1"/>
        <v>11637840.734104283</v>
      </c>
      <c r="L8" s="1">
        <f t="shared" ca="1" si="1"/>
        <v>12245462.437842162</v>
      </c>
      <c r="M8" s="1">
        <f t="shared" ca="1" si="1"/>
        <v>12872021.226688135</v>
      </c>
      <c r="N8" s="1">
        <f t="shared" ca="1" si="1"/>
        <v>13518106.869464492</v>
      </c>
      <c r="O8" s="1">
        <f t="shared" ca="1" si="1"/>
        <v>14184327.488622999</v>
      </c>
      <c r="P8" s="1">
        <f t="shared" ca="1" si="1"/>
        <v>14871310.13095391</v>
      </c>
      <c r="Q8" s="1">
        <f t="shared" ca="1" si="1"/>
        <v>15579701.35602624</v>
      </c>
      <c r="R8" s="1">
        <f t="shared" ca="1" si="1"/>
        <v>16310167.842909696</v>
      </c>
      <c r="S8" s="1">
        <f t="shared" ca="1" si="1"/>
        <v>17063397.015745714</v>
      </c>
      <c r="T8" s="1">
        <f t="shared" ca="1" si="1"/>
        <v>17840097.688752692</v>
      </c>
      <c r="U8" s="1">
        <f t="shared" ca="1" si="1"/>
        <v>18641000.731268581</v>
      </c>
      <c r="V8" s="1">
        <f t="shared" ca="1" si="1"/>
        <v>19466859.753452796</v>
      </c>
      <c r="W8" s="1">
        <f t="shared" ca="1" si="1"/>
        <v>20318451.813288569</v>
      </c>
      <c r="X8" s="1">
        <f t="shared" ca="1" si="1"/>
        <v>21196578.145546891</v>
      </c>
      <c r="Y8" s="1">
        <f t="shared" ca="1" si="1"/>
        <v>22102064.913393531</v>
      </c>
      <c r="Z8" s="1">
        <f t="shared" ca="1" si="1"/>
        <v>23035763.98334191</v>
      </c>
      <c r="AA8" s="1">
        <f t="shared" ca="1" si="1"/>
        <v>23998553.72427626</v>
      </c>
      <c r="AB8" s="1">
        <f t="shared" ca="1" si="1"/>
        <v>24991339.831292056</v>
      </c>
      <c r="AC8" s="1">
        <f t="shared" ca="1" si="1"/>
        <v>26015056.175123796</v>
      </c>
      <c r="AD8" s="1">
        <f t="shared" ca="1" si="1"/>
        <v>27070665.677954115</v>
      </c>
      <c r="AE8" s="1">
        <f t="shared" ca="1" si="1"/>
        <v>28159161.216422841</v>
      </c>
      <c r="AF8" s="1"/>
      <c r="AG8" s="1"/>
      <c r="AH8" s="1"/>
      <c r="AI8" s="1"/>
      <c r="AJ8" s="1"/>
      <c r="AK8" s="1"/>
      <c r="AL8" s="1"/>
      <c r="AM8" s="1"/>
      <c r="AN8" s="1"/>
      <c r="AO8" s="1"/>
      <c r="AP8" s="1"/>
    </row>
    <row r="10" spans="1:42" x14ac:dyDescent="0.35">
      <c r="A10" t="s">
        <v>17</v>
      </c>
      <c r="B10" s="1">
        <f>B8-B11</f>
        <v>7931646.4050631374</v>
      </c>
      <c r="C10" s="1">
        <f ca="1">C8-C11</f>
        <v>6394319.6739433687</v>
      </c>
      <c r="D10" s="1">
        <f ca="1">D8-D11</f>
        <v>5972871.1680866145</v>
      </c>
      <c r="E10" s="1">
        <f t="shared" ref="E10:AE10" ca="1" si="2">E8-E11</f>
        <v>5808329.9300016072</v>
      </c>
      <c r="F10" s="1">
        <f t="shared" ca="1" si="2"/>
        <v>5845038.4366734689</v>
      </c>
      <c r="G10" s="1">
        <f ca="1">G8-G11</f>
        <v>5991966.0909364298</v>
      </c>
      <c r="H10" s="1">
        <f t="shared" ca="1" si="2"/>
        <v>6231095.2642672341</v>
      </c>
      <c r="I10" s="1">
        <f t="shared" ca="1" si="2"/>
        <v>6513205.7865292141</v>
      </c>
      <c r="J10" s="1">
        <f t="shared" ca="1" si="2"/>
        <v>6845860.4914498851</v>
      </c>
      <c r="K10" s="1">
        <f t="shared" ca="1" si="2"/>
        <v>7204484.3003193885</v>
      </c>
      <c r="L10" s="1">
        <f t="shared" ca="1" si="2"/>
        <v>7592682.3626691308</v>
      </c>
      <c r="M10" s="1">
        <f t="shared" ca="1" si="2"/>
        <v>7995874.6088597672</v>
      </c>
      <c r="N10" s="1">
        <f t="shared" ca="1" si="2"/>
        <v>8415721.2449226454</v>
      </c>
      <c r="O10" s="1">
        <f t="shared" ca="1" si="2"/>
        <v>8854047.9138480909</v>
      </c>
      <c r="P10" s="1">
        <f t="shared" ca="1" si="2"/>
        <v>9312858.8516554311</v>
      </c>
      <c r="Q10" s="1">
        <f t="shared" ca="1" si="2"/>
        <v>9794350.9464605674</v>
      </c>
      <c r="R10" s="1">
        <f t="shared" ca="1" si="2"/>
        <v>10300928.756966135</v>
      </c>
      <c r="S10" s="1">
        <f t="shared" ca="1" si="2"/>
        <v>10835220.550112057</v>
      </c>
      <c r="T10" s="1">
        <f t="shared" ca="1" si="2"/>
        <v>11400095.421123473</v>
      </c>
      <c r="U10" s="1">
        <f t="shared" ca="1" si="2"/>
        <v>11998681.562888572</v>
      </c>
      <c r="V10" s="1">
        <f t="shared" ca="1" si="2"/>
        <v>12605601.79693187</v>
      </c>
      <c r="W10" s="1">
        <f t="shared" ca="1" si="2"/>
        <v>13220927.74117586</v>
      </c>
      <c r="X10" s="1">
        <f t="shared" ca="1" si="2"/>
        <v>13844745.139884258</v>
      </c>
      <c r="Y10" s="1">
        <f t="shared" ca="1" si="2"/>
        <v>14477155.710419156</v>
      </c>
      <c r="Z10" s="1">
        <f t="shared" ca="1" si="2"/>
        <v>15118279.14272384</v>
      </c>
      <c r="AA10" s="1">
        <f t="shared" ca="1" si="2"/>
        <v>15768255.261647325</v>
      </c>
      <c r="AB10" s="1">
        <f t="shared" ca="1" si="2"/>
        <v>16427246.362816766</v>
      </c>
      <c r="AC10" s="1">
        <f t="shared" ca="1" si="2"/>
        <v>17057562.007571243</v>
      </c>
      <c r="AD10" s="1">
        <f t="shared" ca="1" si="2"/>
        <v>17624180.701792225</v>
      </c>
      <c r="AE10" s="1">
        <f t="shared" ca="1" si="2"/>
        <v>18120281.69389835</v>
      </c>
      <c r="AF10" s="1"/>
      <c r="AG10" s="1"/>
      <c r="AH10" s="1"/>
      <c r="AI10" s="1"/>
      <c r="AJ10" s="1"/>
      <c r="AK10" s="1"/>
      <c r="AL10" s="1"/>
      <c r="AM10" s="1"/>
      <c r="AN10" s="1"/>
      <c r="AO10" s="1"/>
    </row>
    <row r="11" spans="1:42" x14ac:dyDescent="0.35">
      <c r="A11" t="s">
        <v>9</v>
      </c>
      <c r="B11" s="1">
        <f>Assumptions!$C$20</f>
        <v>0</v>
      </c>
      <c r="C11" s="1">
        <f ca="1">'Debt worksheet'!D5</f>
        <v>999143.57364089461</v>
      </c>
      <c r="D11" s="1">
        <f ca="1">'Debt worksheet'!E5</f>
        <v>1895921.5243752566</v>
      </c>
      <c r="E11" s="1">
        <f ca="1">'Debt worksheet'!F5</f>
        <v>2550608.8304250985</v>
      </c>
      <c r="F11" s="1">
        <f ca="1">'Debt worksheet'!G5</f>
        <v>3019324.541331335</v>
      </c>
      <c r="G11" s="1">
        <f ca="1">'Debt worksheet'!H5</f>
        <v>3393575.1462613842</v>
      </c>
      <c r="H11" s="1">
        <f ca="1">'Debt worksheet'!I5</f>
        <v>3691868.9780030609</v>
      </c>
      <c r="I11" s="1">
        <f ca="1">'Debt worksheet'!J5</f>
        <v>3963932.183891899</v>
      </c>
      <c r="J11" s="1">
        <f ca="1">'Debt worksheet'!K5</f>
        <v>4202723.6553202067</v>
      </c>
      <c r="K11" s="1">
        <f ca="1">'Debt worksheet'!L5</f>
        <v>4433356.4337848946</v>
      </c>
      <c r="L11" s="1">
        <f ca="1">'Debt worksheet'!M5</f>
        <v>4652780.0751730315</v>
      </c>
      <c r="M11" s="1">
        <f ca="1">'Debt worksheet'!N5</f>
        <v>4876146.6178283682</v>
      </c>
      <c r="N11" s="1">
        <f ca="1">'Debt worksheet'!O5</f>
        <v>5102385.6245418461</v>
      </c>
      <c r="O11" s="1">
        <f ca="1">'Debt worksheet'!P5</f>
        <v>5330279.574774907</v>
      </c>
      <c r="P11" s="1">
        <f ca="1">'Debt worksheet'!Q5</f>
        <v>5558451.2792984787</v>
      </c>
      <c r="Q11" s="1">
        <f ca="1">'Debt worksheet'!R5</f>
        <v>5785350.4095656732</v>
      </c>
      <c r="R11" s="1">
        <f ca="1">'Debt worksheet'!S5</f>
        <v>6009239.085943561</v>
      </c>
      <c r="S11" s="1">
        <f ca="1">'Debt worksheet'!T5</f>
        <v>6228176.4656336568</v>
      </c>
      <c r="T11" s="1">
        <f ca="1">'Debt worksheet'!U5</f>
        <v>6440002.2676292192</v>
      </c>
      <c r="U11" s="1">
        <f ca="1">'Debt worksheet'!V5</f>
        <v>6642319.168380009</v>
      </c>
      <c r="V11" s="1">
        <f ca="1">'Debt worksheet'!W5</f>
        <v>6861257.9565209262</v>
      </c>
      <c r="W11" s="1">
        <f ca="1">'Debt worksheet'!X5</f>
        <v>7097524.0721127084</v>
      </c>
      <c r="X11" s="1">
        <f ca="1">'Debt worksheet'!Y5</f>
        <v>7351833.0056626331</v>
      </c>
      <c r="Y11" s="1">
        <f ca="1">'Debt worksheet'!Z5</f>
        <v>7624909.2029743763</v>
      </c>
      <c r="Z11" s="1">
        <f ca="1">'Debt worksheet'!AA5</f>
        <v>7917484.8406180711</v>
      </c>
      <c r="AA11" s="1">
        <f ca="1">'Debt worksheet'!AB5</f>
        <v>8230298.4626289355</v>
      </c>
      <c r="AB11" s="1">
        <f ca="1">'Debt worksheet'!AC5</f>
        <v>8564093.4684752896</v>
      </c>
      <c r="AC11" s="1">
        <f ca="1">'Debt worksheet'!AD5</f>
        <v>8957494.1675525513</v>
      </c>
      <c r="AD11" s="1">
        <f ca="1">'Debt worksheet'!AE5</f>
        <v>9446484.9761618897</v>
      </c>
      <c r="AE11" s="1">
        <f ca="1">'Debt worksheet'!AF5</f>
        <v>10038879.522524491</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Normal="100" workbookViewId="0">
      <pane xSplit="1" topLeftCell="B1" activePane="topRight" state="frozen"/>
      <selection sqref="A1:XFD1048576"/>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165</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-517543.57364089449</v>
      </c>
      <c r="D5" s="4">
        <f ca="1">'Profit and Loss'!D9</f>
        <v>-399766.75073436182</v>
      </c>
      <c r="E5" s="4">
        <f ca="1">'Profit and Loss'!E9</f>
        <v>-141771.74764984171</v>
      </c>
      <c r="F5" s="4">
        <f ca="1">'Profit and Loss'!F9</f>
        <v>60613.145362563315</v>
      </c>
      <c r="G5" s="4">
        <f ca="1">'Profit and Loss'!G9</f>
        <v>172016.77473935258</v>
      </c>
      <c r="H5" s="4">
        <f ca="1">'Profit and Loss'!H9</f>
        <v>265454.10407714569</v>
      </c>
      <c r="I5" s="4">
        <f ca="1">'Profit and Loss'!I9</f>
        <v>309724.66387618677</v>
      </c>
      <c r="J5" s="4">
        <f ca="1">'Profit and Loss'!J9</f>
        <v>361613.61016919778</v>
      </c>
      <c r="K5" s="4">
        <f ca="1">'Profit and Loss'!K9</f>
        <v>388985.26574393793</v>
      </c>
      <c r="L5" s="4">
        <f ca="1">'Profit and Loss'!L9</f>
        <v>420022.180235165</v>
      </c>
      <c r="M5" s="4">
        <f ca="1">'Profit and Loss'!M9</f>
        <v>436541.54525991064</v>
      </c>
      <c r="N5" s="4">
        <f ca="1">'Profit and Loss'!N9</f>
        <v>454786.14001505764</v>
      </c>
      <c r="O5" s="4">
        <f ca="1">'Profit and Loss'!O9</f>
        <v>474924.00119078753</v>
      </c>
      <c r="P5" s="4">
        <f ca="1">'Profit and Loss'!P9</f>
        <v>497136.42134583951</v>
      </c>
      <c r="Q5" s="4">
        <f ca="1">'Profit and Loss'!Q9</f>
        <v>521618.85563003784</v>
      </c>
      <c r="R5" s="4">
        <f ca="1">'Profit and Loss'!R9</f>
        <v>548581.88506805629</v>
      </c>
      <c r="S5" s="4">
        <f ca="1">'Profit and Loss'!S9</f>
        <v>578252.23972211918</v>
      </c>
      <c r="T5" s="4">
        <f ca="1">'Profit and Loss'!T9</f>
        <v>610873.88523784291</v>
      </c>
      <c r="U5" s="4">
        <f ca="1">'Profit and Loss'!U9</f>
        <v>646709.17647408426</v>
      </c>
      <c r="V5" s="4">
        <f ca="1">'Profit and Loss'!V9</f>
        <v>657256.12355515244</v>
      </c>
      <c r="W5" s="4">
        <f ca="1">'Profit and Loss'!W9</f>
        <v>667967.03327856213</v>
      </c>
      <c r="X5" s="4">
        <f ca="1">'Profit and Loss'!X9</f>
        <v>678859.67608427047</v>
      </c>
      <c r="Y5" s="4">
        <f ca="1">'Profit and Loss'!Y9</f>
        <v>689953.80783074605</v>
      </c>
      <c r="Z5" s="4">
        <f ca="1">'Profit and Loss'!Z9</f>
        <v>701271.32766335434</v>
      </c>
      <c r="AA5" s="4">
        <f ca="1">'Profit and Loss'!AA9</f>
        <v>712836.44618601061</v>
      </c>
      <c r="AB5" s="4">
        <f ca="1">'Profit and Loss'!AB9</f>
        <v>724675.86453282181</v>
      </c>
      <c r="AC5" s="4">
        <f ca="1">'Profit and Loss'!AC9</f>
        <v>698941.23915404605</v>
      </c>
      <c r="AD5" s="4">
        <f ca="1">'Profit and Loss'!AD9</f>
        <v>638306.07164537138</v>
      </c>
      <c r="AE5" s="4">
        <f ca="1">'Profit and Loss'!AE9</f>
        <v>570975.83406025928</v>
      </c>
      <c r="AF5" s="4">
        <f ca="1">'Profit and Loss'!AF9</f>
        <v>496522.35539059306</v>
      </c>
      <c r="AG5" s="4"/>
      <c r="AH5" s="4"/>
      <c r="AI5" s="4"/>
      <c r="AJ5" s="4"/>
      <c r="AK5" s="4"/>
      <c r="AL5" s="4"/>
      <c r="AM5" s="4"/>
      <c r="AN5" s="4"/>
      <c r="AO5" s="4"/>
      <c r="AP5" s="4"/>
    </row>
    <row r="6" spans="1:42" x14ac:dyDescent="0.35">
      <c r="A6" t="s">
        <v>21</v>
      </c>
      <c r="C6" s="4">
        <f>Depreciation!C8+Depreciation!C9</f>
        <v>272228.59493686311</v>
      </c>
      <c r="D6" s="4">
        <f>Depreciation!D8+Depreciation!D9</f>
        <v>292868.17877484264</v>
      </c>
      <c r="E6" s="4">
        <f>Depreciation!E8+Depreciation!E9</f>
        <v>314549.93389723758</v>
      </c>
      <c r="F6" s="4">
        <f>Depreciation!F8+Depreciation!F9</f>
        <v>337319.42433240043</v>
      </c>
      <c r="G6" s="4">
        <f>Depreciation!G8+Depreciation!G9</f>
        <v>361224.06302310294</v>
      </c>
      <c r="H6" s="4">
        <f>Depreciation!H8+Depreciation!H9</f>
        <v>386313.18349949393</v>
      </c>
      <c r="I6" s="4">
        <f>Depreciation!I8+Depreciation!I9</f>
        <v>412638.11424583825</v>
      </c>
      <c r="J6" s="4">
        <f>Depreciation!J8+Depreciation!J9</f>
        <v>440252.25586004526</v>
      </c>
      <c r="K6" s="4">
        <f>Depreciation!K8+Depreciation!K9</f>
        <v>469211.16110857378</v>
      </c>
      <c r="L6" s="4">
        <f>Depreciation!L8+Depreciation!L9</f>
        <v>499572.61798300734</v>
      </c>
      <c r="M6" s="4">
        <f>Depreciation!M8+Depreciation!M9</f>
        <v>531396.73586842953</v>
      </c>
      <c r="N6" s="4">
        <f>Depreciation!N8+Depreciation!N9</f>
        <v>564746.0349377041</v>
      </c>
      <c r="O6" s="4">
        <f>Depreciation!O8+Depreciation!O9</f>
        <v>599685.53888988309</v>
      </c>
      <c r="P6" s="4">
        <f>Depreciation!P8+Depreciation!P9</f>
        <v>636282.87115522509</v>
      </c>
      <c r="Q6" s="4">
        <f>Depreciation!Q8+Depreciation!Q9</f>
        <v>674608.35469372571</v>
      </c>
      <c r="R6" s="4">
        <f>Depreciation!R8+Depreciation!R9</f>
        <v>714735.11551862792</v>
      </c>
      <c r="S6" s="4">
        <f>Depreciation!S8+Depreciation!S9</f>
        <v>756739.19008111721</v>
      </c>
      <c r="T6" s="4">
        <f>Depreciation!T8+Depreciation!T9</f>
        <v>800699.63665731449</v>
      </c>
      <c r="U6" s="4">
        <f>Depreciation!U8+Depreciation!U9</f>
        <v>846698.65088374552</v>
      </c>
      <c r="V6" s="4">
        <f>Depreciation!V8+Depreciation!V9</f>
        <v>894821.685592731</v>
      </c>
      <c r="W6" s="4">
        <f>Depreciation!W8+Depreciation!W9</f>
        <v>945157.57510458678</v>
      </c>
      <c r="X6" s="4">
        <f>Depreciation!X8+Depreciation!X9</f>
        <v>997798.66413915413</v>
      </c>
      <c r="Y6" s="4">
        <f>Depreciation!Y8+Depreciation!Y9</f>
        <v>1052840.9415150266</v>
      </c>
      <c r="Z6" s="4">
        <f>Depreciation!Z8+Depreciation!Z9</f>
        <v>1110384.1788108766</v>
      </c>
      <c r="AA6" s="4">
        <f>Depreciation!AA8+Depreciation!AA9</f>
        <v>1170532.0741695501</v>
      </c>
      <c r="AB6" s="4">
        <f>Depreciation!AB8+Depreciation!AB9</f>
        <v>1233392.4014320755</v>
      </c>
      <c r="AC6" s="4">
        <f>Depreciation!AC8+Depreciation!AC9</f>
        <v>1299077.1647954532</v>
      </c>
      <c r="AD6" s="4">
        <f>Depreciation!AD8+Depreciation!AD9</f>
        <v>1367702.7591950209</v>
      </c>
      <c r="AE6" s="4">
        <f>Depreciation!AE8+Depreciation!AE9</f>
        <v>1439390.13661941</v>
      </c>
      <c r="AF6" s="4">
        <f>Depreciation!AF8+Depreciation!AF9</f>
        <v>1514264.9785735444</v>
      </c>
      <c r="AG6" s="4"/>
      <c r="AH6" s="4"/>
      <c r="AI6" s="4"/>
      <c r="AJ6" s="4"/>
      <c r="AK6" s="4"/>
      <c r="AL6" s="4"/>
      <c r="AM6" s="4"/>
      <c r="AN6" s="4"/>
      <c r="AO6" s="4"/>
      <c r="AP6" s="4"/>
    </row>
    <row r="7" spans="1:42" x14ac:dyDescent="0.35">
      <c r="A7" t="s">
        <v>23</v>
      </c>
      <c r="C7" s="4">
        <f ca="1">C6+C5</f>
        <v>-245314.97870403138</v>
      </c>
      <c r="D7" s="4">
        <f ca="1">D6+D5</f>
        <v>-106898.57195951918</v>
      </c>
      <c r="E7" s="4">
        <f t="shared" ref="E7:AF7" ca="1" si="1">E6+E5</f>
        <v>172778.18624739588</v>
      </c>
      <c r="F7" s="4">
        <f t="shared" ca="1" si="1"/>
        <v>397932.56969496375</v>
      </c>
      <c r="G7" s="4">
        <f ca="1">G6+G5</f>
        <v>533240.83776245546</v>
      </c>
      <c r="H7" s="4">
        <f t="shared" ca="1" si="1"/>
        <v>651767.28757663956</v>
      </c>
      <c r="I7" s="4">
        <f t="shared" ca="1" si="1"/>
        <v>722362.77812202508</v>
      </c>
      <c r="J7" s="4">
        <f t="shared" ca="1" si="1"/>
        <v>801865.86602924298</v>
      </c>
      <c r="K7" s="4">
        <f t="shared" ca="1" si="1"/>
        <v>858196.42685251171</v>
      </c>
      <c r="L7" s="4">
        <f t="shared" ca="1" si="1"/>
        <v>919594.79821817228</v>
      </c>
      <c r="M7" s="4">
        <f t="shared" ca="1" si="1"/>
        <v>967938.28112834017</v>
      </c>
      <c r="N7" s="4">
        <f t="shared" ca="1" si="1"/>
        <v>1019532.1749527617</v>
      </c>
      <c r="O7" s="4">
        <f t="shared" ca="1" si="1"/>
        <v>1074609.5400806707</v>
      </c>
      <c r="P7" s="4">
        <f t="shared" ca="1" si="1"/>
        <v>1133419.2925010645</v>
      </c>
      <c r="Q7" s="4">
        <f t="shared" ca="1" si="1"/>
        <v>1196227.2103237635</v>
      </c>
      <c r="R7" s="4">
        <f t="shared" ca="1" si="1"/>
        <v>1263317.0005866843</v>
      </c>
      <c r="S7" s="4">
        <f t="shared" ca="1" si="1"/>
        <v>1334991.4298032364</v>
      </c>
      <c r="T7" s="4">
        <f t="shared" ca="1" si="1"/>
        <v>1411573.5218951574</v>
      </c>
      <c r="U7" s="4">
        <f t="shared" ca="1" si="1"/>
        <v>1493407.8273578298</v>
      </c>
      <c r="V7" s="4">
        <f t="shared" ca="1" si="1"/>
        <v>1552077.8091478834</v>
      </c>
      <c r="W7" s="4">
        <f t="shared" ca="1" si="1"/>
        <v>1613124.6083831489</v>
      </c>
      <c r="X7" s="4">
        <f t="shared" ca="1" si="1"/>
        <v>1676658.3402234246</v>
      </c>
      <c r="Y7" s="4">
        <f t="shared" ca="1" si="1"/>
        <v>1742794.7493457727</v>
      </c>
      <c r="Z7" s="4">
        <f t="shared" ca="1" si="1"/>
        <v>1811655.5064742309</v>
      </c>
      <c r="AA7" s="4">
        <f t="shared" ca="1" si="1"/>
        <v>1883368.5203555608</v>
      </c>
      <c r="AB7" s="4">
        <f t="shared" ca="1" si="1"/>
        <v>1958068.2659648973</v>
      </c>
      <c r="AC7" s="4">
        <f t="shared" ca="1" si="1"/>
        <v>1998018.4039494991</v>
      </c>
      <c r="AD7" s="4">
        <f t="shared" ca="1" si="1"/>
        <v>2006008.8308403923</v>
      </c>
      <c r="AE7" s="4">
        <f t="shared" ca="1" si="1"/>
        <v>2010365.9706796692</v>
      </c>
      <c r="AF7" s="4">
        <f t="shared" ca="1" si="1"/>
        <v>2010787.3339641374</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753828.59493686317</v>
      </c>
      <c r="D10" s="9">
        <f>Investment!D25</f>
        <v>789879.37877484271</v>
      </c>
      <c r="E10" s="9">
        <f>Investment!E25</f>
        <v>827465.49229723762</v>
      </c>
      <c r="F10" s="9">
        <f>Investment!F25</f>
        <v>866648.2806012003</v>
      </c>
      <c r="G10" s="9">
        <f>Investment!G25</f>
        <v>907491.44269250461</v>
      </c>
      <c r="H10" s="9">
        <f>Investment!H25</f>
        <v>950061.11931831622</v>
      </c>
      <c r="I10" s="9">
        <f>Investment!I25</f>
        <v>994425.984010863</v>
      </c>
      <c r="J10" s="9">
        <f>Investment!J25</f>
        <v>1040657.3374575508</v>
      </c>
      <c r="K10" s="9">
        <f>Investment!K25</f>
        <v>1088829.2053171995</v>
      </c>
      <c r="L10" s="9">
        <f>Investment!L25</f>
        <v>1139018.4396063089</v>
      </c>
      <c r="M10" s="9">
        <f>Investment!M25</f>
        <v>1191304.8237836768</v>
      </c>
      <c r="N10" s="9">
        <f>Investment!N25</f>
        <v>1245771.1816662394</v>
      </c>
      <c r="O10" s="9">
        <f>Investment!O25</f>
        <v>1302503.4903137316</v>
      </c>
      <c r="P10" s="9">
        <f>Investment!P25</f>
        <v>1361590.9970246367</v>
      </c>
      <c r="Q10" s="9">
        <f>Investment!Q25</f>
        <v>1423126.3405909583</v>
      </c>
      <c r="R10" s="9">
        <f>Investment!R25</f>
        <v>1487205.6769645722</v>
      </c>
      <c r="S10" s="9">
        <f>Investment!S25</f>
        <v>1553928.8094933317</v>
      </c>
      <c r="T10" s="9">
        <f>Investment!T25</f>
        <v>1623399.3238907198</v>
      </c>
      <c r="U10" s="9">
        <f>Investment!U25</f>
        <v>1695724.7281086193</v>
      </c>
      <c r="V10" s="9">
        <f>Investment!V25</f>
        <v>1771016.5972888011</v>
      </c>
      <c r="W10" s="9">
        <f>Investment!W25</f>
        <v>1849390.7239749313</v>
      </c>
      <c r="X10" s="9">
        <f>Investment!X25</f>
        <v>1930967.2737733496</v>
      </c>
      <c r="Y10" s="9">
        <f>Investment!Y25</f>
        <v>2015870.9466575161</v>
      </c>
      <c r="Z10" s="9">
        <f>Investment!Z25</f>
        <v>2104231.1441179258</v>
      </c>
      <c r="AA10" s="9">
        <f>Investment!AA25</f>
        <v>2196182.1423664251</v>
      </c>
      <c r="AB10" s="9">
        <f>Investment!AB25</f>
        <v>2291863.2718112506</v>
      </c>
      <c r="AC10" s="9">
        <f>Investment!AC25</f>
        <v>2391419.1030267612</v>
      </c>
      <c r="AD10" s="9">
        <f>Investment!AD25</f>
        <v>2494999.639449731</v>
      </c>
      <c r="AE10" s="9">
        <f>Investment!AE25</f>
        <v>2602760.5170422713</v>
      </c>
      <c r="AF10" s="9">
        <f>Investment!AF25</f>
        <v>2714863.2111699372</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-999143.57364089461</v>
      </c>
      <c r="D12" s="1">
        <f t="shared" ref="D12:AF12" ca="1" si="2">D7-D9-D10</f>
        <v>-896777.95073436189</v>
      </c>
      <c r="E12" s="1">
        <f ca="1">E7-E9-E10</f>
        <v>-654687.30604984169</v>
      </c>
      <c r="F12" s="1">
        <f t="shared" ca="1" si="2"/>
        <v>-468715.71090623655</v>
      </c>
      <c r="G12" s="1">
        <f ca="1">G7-G9-G10</f>
        <v>-374250.60493004916</v>
      </c>
      <c r="H12" s="1">
        <f t="shared" ca="1" si="2"/>
        <v>-298293.83174167667</v>
      </c>
      <c r="I12" s="1">
        <f t="shared" ca="1" si="2"/>
        <v>-272063.20588883793</v>
      </c>
      <c r="J12" s="1">
        <f t="shared" ca="1" si="2"/>
        <v>-238791.47142830782</v>
      </c>
      <c r="K12" s="1">
        <f t="shared" ca="1" si="2"/>
        <v>-230632.77846468776</v>
      </c>
      <c r="L12" s="1">
        <f t="shared" ca="1" si="2"/>
        <v>-219423.64138813666</v>
      </c>
      <c r="M12" s="1">
        <f t="shared" ca="1" si="2"/>
        <v>-223366.54265533667</v>
      </c>
      <c r="N12" s="1">
        <f t="shared" ca="1" si="2"/>
        <v>-226239.00671347766</v>
      </c>
      <c r="O12" s="1">
        <f t="shared" ca="1" si="2"/>
        <v>-227893.95023306087</v>
      </c>
      <c r="P12" s="1">
        <f t="shared" ca="1" si="2"/>
        <v>-228171.70452357223</v>
      </c>
      <c r="Q12" s="1">
        <f t="shared" ca="1" si="2"/>
        <v>-226899.13026719471</v>
      </c>
      <c r="R12" s="1">
        <f t="shared" ca="1" si="2"/>
        <v>-223888.67637788784</v>
      </c>
      <c r="S12" s="1">
        <f t="shared" ca="1" si="2"/>
        <v>-218937.37969009532</v>
      </c>
      <c r="T12" s="1">
        <f t="shared" ca="1" si="2"/>
        <v>-211825.80199556239</v>
      </c>
      <c r="U12" s="1">
        <f t="shared" ca="1" si="2"/>
        <v>-202316.90075078956</v>
      </c>
      <c r="V12" s="1">
        <f t="shared" ca="1" si="2"/>
        <v>-218938.78814091766</v>
      </c>
      <c r="W12" s="1">
        <f t="shared" ca="1" si="2"/>
        <v>-236266.11559178238</v>
      </c>
      <c r="X12" s="1">
        <f t="shared" ca="1" si="2"/>
        <v>-254308.93354992499</v>
      </c>
      <c r="Y12" s="1">
        <f t="shared" ca="1" si="2"/>
        <v>-273076.1973117434</v>
      </c>
      <c r="Z12" s="1">
        <f t="shared" ca="1" si="2"/>
        <v>-292575.63764369488</v>
      </c>
      <c r="AA12" s="1">
        <f t="shared" ca="1" si="2"/>
        <v>-312813.62201086432</v>
      </c>
      <c r="AB12" s="1">
        <f t="shared" ca="1" si="2"/>
        <v>-333795.00584635325</v>
      </c>
      <c r="AC12" s="1">
        <f t="shared" ca="1" si="2"/>
        <v>-393400.69907726208</v>
      </c>
      <c r="AD12" s="1">
        <f t="shared" ca="1" si="2"/>
        <v>-488990.80860933871</v>
      </c>
      <c r="AE12" s="1">
        <f t="shared" ca="1" si="2"/>
        <v>-592394.54636260215</v>
      </c>
      <c r="AF12" s="1">
        <f t="shared" ca="1" si="2"/>
        <v>-704075.8772057998</v>
      </c>
      <c r="AG12" s="1"/>
      <c r="AH12" s="1"/>
      <c r="AI12" s="1"/>
      <c r="AJ12" s="1"/>
      <c r="AK12" s="1"/>
      <c r="AL12" s="1"/>
      <c r="AM12" s="1"/>
      <c r="AN12" s="1"/>
      <c r="AO12" s="1"/>
      <c r="AP12" s="1"/>
    </row>
    <row r="13" spans="1:42" x14ac:dyDescent="0.35">
      <c r="A13" t="s">
        <v>19</v>
      </c>
      <c r="C13" s="1">
        <f ca="1">C12</f>
        <v>-999143.57364089461</v>
      </c>
      <c r="D13" s="1">
        <f ca="1">D12</f>
        <v>-896777.95073436189</v>
      </c>
      <c r="E13" s="1">
        <f ca="1">E12</f>
        <v>-654687.30604984169</v>
      </c>
      <c r="F13" s="1">
        <f t="shared" ref="F13:AF13" ca="1" si="3">F12</f>
        <v>-468715.71090623655</v>
      </c>
      <c r="G13" s="1">
        <f ca="1">G12</f>
        <v>-374250.60493004916</v>
      </c>
      <c r="H13" s="1">
        <f t="shared" ca="1" si="3"/>
        <v>-298293.83174167667</v>
      </c>
      <c r="I13" s="1">
        <f t="shared" ca="1" si="3"/>
        <v>-272063.20588883793</v>
      </c>
      <c r="J13" s="1">
        <f t="shared" ca="1" si="3"/>
        <v>-238791.47142830782</v>
      </c>
      <c r="K13" s="1">
        <f t="shared" ca="1" si="3"/>
        <v>-230632.77846468776</v>
      </c>
      <c r="L13" s="1">
        <f t="shared" ca="1" si="3"/>
        <v>-219423.64138813666</v>
      </c>
      <c r="M13" s="1">
        <f t="shared" ca="1" si="3"/>
        <v>-223366.54265533667</v>
      </c>
      <c r="N13" s="1">
        <f t="shared" ca="1" si="3"/>
        <v>-226239.00671347766</v>
      </c>
      <c r="O13" s="1">
        <f t="shared" ca="1" si="3"/>
        <v>-227893.95023306087</v>
      </c>
      <c r="P13" s="1">
        <f t="shared" ca="1" si="3"/>
        <v>-228171.70452357223</v>
      </c>
      <c r="Q13" s="1">
        <f t="shared" ca="1" si="3"/>
        <v>-226899.13026719471</v>
      </c>
      <c r="R13" s="1">
        <f t="shared" ca="1" si="3"/>
        <v>-223888.67637788784</v>
      </c>
      <c r="S13" s="1">
        <f t="shared" ca="1" si="3"/>
        <v>-218937.37969009532</v>
      </c>
      <c r="T13" s="1">
        <f t="shared" ca="1" si="3"/>
        <v>-211825.80199556239</v>
      </c>
      <c r="U13" s="1">
        <f t="shared" ca="1" si="3"/>
        <v>-202316.90075078956</v>
      </c>
      <c r="V13" s="1">
        <f t="shared" ca="1" si="3"/>
        <v>-218938.78814091766</v>
      </c>
      <c r="W13" s="1">
        <f t="shared" ca="1" si="3"/>
        <v>-236266.11559178238</v>
      </c>
      <c r="X13" s="1">
        <f t="shared" ca="1" si="3"/>
        <v>-254308.93354992499</v>
      </c>
      <c r="Y13" s="1">
        <f t="shared" ca="1" si="3"/>
        <v>-273076.1973117434</v>
      </c>
      <c r="Z13" s="1">
        <f t="shared" ca="1" si="3"/>
        <v>-292575.63764369488</v>
      </c>
      <c r="AA13" s="1">
        <f t="shared" ca="1" si="3"/>
        <v>-312813.62201086432</v>
      </c>
      <c r="AB13" s="1">
        <f t="shared" ca="1" si="3"/>
        <v>-333795.00584635325</v>
      </c>
      <c r="AC13" s="1">
        <f t="shared" ca="1" si="3"/>
        <v>-393400.69907726208</v>
      </c>
      <c r="AD13" s="1">
        <f t="shared" ca="1" si="3"/>
        <v>-488990.80860933871</v>
      </c>
      <c r="AE13" s="1">
        <f t="shared" ca="1" si="3"/>
        <v>-592394.54636260215</v>
      </c>
      <c r="AF13" s="1">
        <f t="shared" ca="1" si="3"/>
        <v>-704075.8772057998</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Normal="100" workbookViewId="0">
      <pane xSplit="1" topLeftCell="B1" activePane="topRight" state="frozen"/>
      <selection sqref="A1:XFD1048576"/>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139</v>
      </c>
      <c r="C6" s="9">
        <f>Assumptions!C17</f>
        <v>16407750</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8203875</v>
      </c>
      <c r="D7" s="9">
        <f>C12</f>
        <v>8476103.5949368626</v>
      </c>
      <c r="E7" s="9">
        <f>D12</f>
        <v>8768971.7737117056</v>
      </c>
      <c r="F7" s="9">
        <f t="shared" ref="F7:H7" si="1">E12</f>
        <v>9083521.7076089419</v>
      </c>
      <c r="G7" s="9">
        <f t="shared" si="1"/>
        <v>9420841.1319413427</v>
      </c>
      <c r="H7" s="9">
        <f t="shared" si="1"/>
        <v>9782065.1949644443</v>
      </c>
      <c r="I7" s="9">
        <f t="shared" ref="I7" si="2">H12</f>
        <v>10168378.378463937</v>
      </c>
      <c r="J7" s="9">
        <f t="shared" ref="J7" si="3">I12</f>
        <v>10581016.492709775</v>
      </c>
      <c r="K7" s="9">
        <f t="shared" ref="K7" si="4">J12</f>
        <v>11021268.74856982</v>
      </c>
      <c r="L7" s="9">
        <f t="shared" ref="L7" si="5">K12</f>
        <v>11490479.909678394</v>
      </c>
      <c r="M7" s="9">
        <f t="shared" ref="M7" si="6">L12</f>
        <v>11990052.527661402</v>
      </c>
      <c r="N7" s="9">
        <f t="shared" ref="N7" si="7">M12</f>
        <v>12521449.263529832</v>
      </c>
      <c r="O7" s="9">
        <f t="shared" ref="O7" si="8">N12</f>
        <v>13086195.298467536</v>
      </c>
      <c r="P7" s="9">
        <f t="shared" ref="P7" si="9">O12</f>
        <v>13685880.837357419</v>
      </c>
      <c r="Q7" s="9">
        <f t="shared" ref="Q7" si="10">P12</f>
        <v>14322163.708512643</v>
      </c>
      <c r="R7" s="9">
        <f t="shared" ref="R7" si="11">Q12</f>
        <v>14996772.063206369</v>
      </c>
      <c r="S7" s="9">
        <f t="shared" ref="S7" si="12">R12</f>
        <v>15711507.178724997</v>
      </c>
      <c r="T7" s="9">
        <f t="shared" ref="T7" si="13">S12</f>
        <v>16468246.368806114</v>
      </c>
      <c r="U7" s="9">
        <f t="shared" ref="U7" si="14">T12</f>
        <v>17268946.005463429</v>
      </c>
      <c r="V7" s="9">
        <f t="shared" ref="V7" si="15">U12</f>
        <v>18115644.656347174</v>
      </c>
      <c r="W7" s="9">
        <f t="shared" ref="W7" si="16">V12</f>
        <v>19010466.341939908</v>
      </c>
      <c r="X7" s="9">
        <f t="shared" ref="X7" si="17">W12</f>
        <v>19955623.917044494</v>
      </c>
      <c r="Y7" s="9">
        <f t="shared" ref="Y7" si="18">X12</f>
        <v>20953422.58118365</v>
      </c>
      <c r="Z7" s="9">
        <f t="shared" ref="Z7" si="19">Y12</f>
        <v>22006263.522698678</v>
      </c>
      <c r="AA7" s="9">
        <f t="shared" ref="AA7" si="20">Z12</f>
        <v>23116647.701509554</v>
      </c>
      <c r="AB7" s="9">
        <f t="shared" ref="AB7" si="21">AA12</f>
        <v>24287179.775679104</v>
      </c>
      <c r="AC7" s="9">
        <f t="shared" ref="AC7" si="22">AB12</f>
        <v>25520572.177111179</v>
      </c>
      <c r="AD7" s="9">
        <f t="shared" ref="AD7" si="23">AC12</f>
        <v>26819649.34190663</v>
      </c>
      <c r="AE7" s="9">
        <f t="shared" ref="AE7" si="24">AD12</f>
        <v>28187352.101101652</v>
      </c>
      <c r="AF7" s="9">
        <f t="shared" ref="AF7" si="25">AE12</f>
        <v>29626742.237721063</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140</v>
      </c>
      <c r="C8" s="9">
        <f>Assumptions!D111*Assumptions!D11</f>
        <v>260670.19493686309</v>
      </c>
      <c r="D8" s="9">
        <f>Assumptions!E111*Assumptions!E11</f>
        <v>269011.64117484266</v>
      </c>
      <c r="E8" s="9">
        <f>Assumptions!F111*Assumptions!F11</f>
        <v>277620.01369243761</v>
      </c>
      <c r="F8" s="9">
        <f>Assumptions!G111*Assumptions!G11</f>
        <v>286503.85413059563</v>
      </c>
      <c r="G8" s="9">
        <f>Assumptions!H111*Assumptions!H11</f>
        <v>295671.97746277472</v>
      </c>
      <c r="H8" s="9">
        <f>Assumptions!I111*Assumptions!I11</f>
        <v>305133.48074158351</v>
      </c>
      <c r="I8" s="9">
        <f>Assumptions!J111*Assumptions!J11</f>
        <v>314897.75212531415</v>
      </c>
      <c r="J8" s="9">
        <f>Assumptions!K111*Assumptions!K11</f>
        <v>324974.48019332421</v>
      </c>
      <c r="K8" s="9">
        <f>Assumptions!L111*Assumptions!L11</f>
        <v>335373.66355951061</v>
      </c>
      <c r="L8" s="9">
        <f>Assumptions!M111*Assumptions!M11</f>
        <v>346105.62079341494</v>
      </c>
      <c r="M8" s="9">
        <f>Assumptions!N111*Assumptions!N11</f>
        <v>357181.0006588042</v>
      </c>
      <c r="N8" s="9">
        <f>Assumptions!O111*Assumptions!O11</f>
        <v>368610.79267988593</v>
      </c>
      <c r="O8" s="9">
        <f>Assumptions!P111*Assumptions!P11</f>
        <v>380406.3380456423</v>
      </c>
      <c r="P8" s="9">
        <f>Assumptions!Q111*Assumptions!Q11</f>
        <v>392579.34086310281</v>
      </c>
      <c r="Q8" s="9">
        <f>Assumptions!R111*Assumptions!R11</f>
        <v>405141.87977072201</v>
      </c>
      <c r="R8" s="9">
        <f>Assumptions!S111*Assumptions!S11</f>
        <v>418106.41992338526</v>
      </c>
      <c r="S8" s="9">
        <f>Assumptions!T111*Assumptions!T11</f>
        <v>431485.82536093361</v>
      </c>
      <c r="T8" s="9">
        <f>Assumptions!U111*Assumptions!U11</f>
        <v>445293.3717724834</v>
      </c>
      <c r="U8" s="9">
        <f>Assumptions!V111*Assumptions!V11</f>
        <v>459542.75966920285</v>
      </c>
      <c r="V8" s="9">
        <f>Assumptions!W111*Assumptions!W11</f>
        <v>474248.12797861738</v>
      </c>
      <c r="W8" s="9">
        <f>Assumptions!X111*Assumptions!X11</f>
        <v>489424.06807393319</v>
      </c>
      <c r="X8" s="9">
        <f>Assumptions!Y111*Assumptions!Y11</f>
        <v>505085.63825229899</v>
      </c>
      <c r="Y8" s="9">
        <f>Assumptions!Z111*Assumptions!Z11</f>
        <v>521248.37867637246</v>
      </c>
      <c r="Z8" s="9">
        <f>Assumptions!AA111*Assumptions!AA11</f>
        <v>537928.32679401641</v>
      </c>
      <c r="AA8" s="9">
        <f>Assumptions!AB111*Assumptions!AB11</f>
        <v>555142.03325142513</v>
      </c>
      <c r="AB8" s="9">
        <f>Assumptions!AC111*Assumptions!AC11</f>
        <v>572906.5783154706</v>
      </c>
      <c r="AC8" s="9">
        <f>Assumptions!AD111*Assumptions!AD11</f>
        <v>591239.58882156562</v>
      </c>
      <c r="AD8" s="9">
        <f>Assumptions!AE111*Assumptions!AE11</f>
        <v>610159.25566385582</v>
      </c>
      <c r="AE8" s="9">
        <f>Assumptions!AF111*Assumptions!AF11</f>
        <v>629684.35184509913</v>
      </c>
      <c r="AF8" s="9">
        <f>Assumptions!AG111*Assumptions!AG11</f>
        <v>649834.25110414217</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11558.4</v>
      </c>
      <c r="D9" s="9">
        <f>Assumptions!E120*Assumptions!E11</f>
        <v>23856.5376</v>
      </c>
      <c r="E9" s="9">
        <f>Assumptions!F120*Assumptions!F11</f>
        <v>36929.920204799993</v>
      </c>
      <c r="F9" s="9">
        <f>Assumptions!G120*Assumptions!G11</f>
        <v>50815.570201804796</v>
      </c>
      <c r="G9" s="9">
        <f>Assumptions!H120*Assumptions!H11</f>
        <v>65552.085560328196</v>
      </c>
      <c r="H9" s="9">
        <f>Assumptions!I120*Assumptions!I11</f>
        <v>81179.702757910418</v>
      </c>
      <c r="I9" s="9">
        <f>Assumptions!J120*Assumptions!J11</f>
        <v>97740.362120524136</v>
      </c>
      <c r="J9" s="9">
        <f>Assumptions!K120*Assumptions!K11</f>
        <v>115277.77566672103</v>
      </c>
      <c r="K9" s="9">
        <f>Assumptions!L120*Assumptions!L11</f>
        <v>133837.49754906315</v>
      </c>
      <c r="L9" s="9">
        <f>Assumptions!M120*Assumptions!M11</f>
        <v>153466.9971895924</v>
      </c>
      <c r="M9" s="9">
        <f>Assumptions!N120*Assumptions!N11</f>
        <v>174215.73520962533</v>
      </c>
      <c r="N9" s="9">
        <f>Assumptions!O120*Assumptions!O11</f>
        <v>196135.2422578182</v>
      </c>
      <c r="O9" s="9">
        <f>Assumptions!P120*Assumptions!P11</f>
        <v>219279.20084424075</v>
      </c>
      <c r="P9" s="9">
        <f>Assumptions!Q120*Assumptions!Q11</f>
        <v>243703.5302921223</v>
      </c>
      <c r="Q9" s="9">
        <f>Assumptions!R120*Assumptions!R11</f>
        <v>269466.47492300376</v>
      </c>
      <c r="R9" s="9">
        <f>Assumptions!S120*Assumptions!S11</f>
        <v>296628.69559524267</v>
      </c>
      <c r="S9" s="9">
        <f>Assumptions!T120*Assumptions!T11</f>
        <v>325253.36472018354</v>
      </c>
      <c r="T9" s="9">
        <f>Assumptions!U120*Assumptions!U11</f>
        <v>355406.26488483109</v>
      </c>
      <c r="U9" s="9">
        <f>Assumptions!V120*Assumptions!V11</f>
        <v>387155.89121454267</v>
      </c>
      <c r="V9" s="9">
        <f>Assumptions!W120*Assumptions!W11</f>
        <v>420573.55761411367</v>
      </c>
      <c r="W9" s="9">
        <f>Assumptions!X120*Assumptions!X11</f>
        <v>455733.50703065359</v>
      </c>
      <c r="X9" s="9">
        <f>Assumptions!Y120*Assumptions!Y11</f>
        <v>492713.02588685509</v>
      </c>
      <c r="Y9" s="9">
        <f>Assumptions!Z120*Assumptions!Z11</f>
        <v>531592.56283865403</v>
      </c>
      <c r="Z9" s="9">
        <f>Assumptions!AA120*Assumptions!AA11</f>
        <v>572455.85201686015</v>
      </c>
      <c r="AA9" s="9">
        <f>Assumptions!AB120*Assumptions!AB11</f>
        <v>615390.04091812484</v>
      </c>
      <c r="AB9" s="9">
        <f>Assumptions!AC120*Assumptions!AC11</f>
        <v>660485.82311660494</v>
      </c>
      <c r="AC9" s="9">
        <f>Assumptions!AD120*Assumptions!AD11</f>
        <v>707837.57597388746</v>
      </c>
      <c r="AD9" s="9">
        <f>Assumptions!AE120*Assumptions!AE11</f>
        <v>757543.50353116507</v>
      </c>
      <c r="AE9" s="9">
        <f>Assumptions!AF120*Assumptions!AF11</f>
        <v>809705.784774311</v>
      </c>
      <c r="AF9" s="9">
        <f>Assumptions!AG120*Assumptions!AG11</f>
        <v>864430.72746940225</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35</v>
      </c>
      <c r="C10" s="9">
        <f>SUM($C$8:C9)</f>
        <v>272228.59493686311</v>
      </c>
      <c r="D10" s="9">
        <f>SUM($C$8:D9)</f>
        <v>565096.77371170581</v>
      </c>
      <c r="E10" s="9">
        <f>SUM($C$8:E9)</f>
        <v>879646.70760894346</v>
      </c>
      <c r="F10" s="9">
        <f>SUM($C$8:F9)</f>
        <v>1216966.1319413439</v>
      </c>
      <c r="G10" s="9">
        <f>SUM($C$8:G9)</f>
        <v>1578190.1949644468</v>
      </c>
      <c r="H10" s="9">
        <f>SUM($C$8:H9)</f>
        <v>1964503.3784639407</v>
      </c>
      <c r="I10" s="9">
        <f>SUM($C$8:I9)</f>
        <v>2377141.4927097792</v>
      </c>
      <c r="J10" s="9">
        <f>SUM($C$8:J9)</f>
        <v>2817393.7485698247</v>
      </c>
      <c r="K10" s="9">
        <f>SUM($C$8:K9)</f>
        <v>3286604.9096783982</v>
      </c>
      <c r="L10" s="9">
        <f>SUM($C$8:L9)</f>
        <v>3786177.5276614055</v>
      </c>
      <c r="M10" s="9">
        <f>SUM($C$8:M9)</f>
        <v>4317574.2635298353</v>
      </c>
      <c r="N10" s="9">
        <f>SUM($C$8:N9)</f>
        <v>4882320.2984675393</v>
      </c>
      <c r="O10" s="9">
        <f>SUM($C$8:O9)</f>
        <v>5482005.8373574223</v>
      </c>
      <c r="P10" s="9">
        <f>SUM($C$8:P9)</f>
        <v>6118288.7085126489</v>
      </c>
      <c r="Q10" s="9">
        <f>SUM($C$8:Q9)</f>
        <v>6792897.0632063746</v>
      </c>
      <c r="R10" s="9">
        <f>SUM($C$8:R9)</f>
        <v>7507632.1787250033</v>
      </c>
      <c r="S10" s="9">
        <f>SUM($C$8:S9)</f>
        <v>8264371.36880612</v>
      </c>
      <c r="T10" s="9">
        <f>SUM($C$8:T9)</f>
        <v>9065071.0054634344</v>
      </c>
      <c r="U10" s="9">
        <f>SUM($C$8:U9)</f>
        <v>9911769.6563471798</v>
      </c>
      <c r="V10" s="9">
        <f>SUM($C$8:V9)</f>
        <v>10806591.341939911</v>
      </c>
      <c r="W10" s="9">
        <f>SUM($C$8:W9)</f>
        <v>11751748.917044496</v>
      </c>
      <c r="X10" s="9">
        <f>SUM($C$8:X9)</f>
        <v>12749547.58118365</v>
      </c>
      <c r="Y10" s="9">
        <f>SUM($C$8:Y9)</f>
        <v>13802388.522698674</v>
      </c>
      <c r="Z10" s="9">
        <f>SUM($C$8:Z9)</f>
        <v>14912772.701509552</v>
      </c>
      <c r="AA10" s="9">
        <f>SUM($C$8:AA9)</f>
        <v>16083304.775679104</v>
      </c>
      <c r="AB10" s="9">
        <f>SUM($C$8:AB9)</f>
        <v>17316697.177111179</v>
      </c>
      <c r="AC10" s="9">
        <f>SUM($C$8:AC9)</f>
        <v>18615774.34190663</v>
      </c>
      <c r="AD10" s="9">
        <f>SUM($C$8:AD9)</f>
        <v>19983477.101101652</v>
      </c>
      <c r="AE10" s="9">
        <f>SUM($C$8:AE9)</f>
        <v>21422867.237721056</v>
      </c>
      <c r="AF10" s="9">
        <f>SUM($C$8:AF9)</f>
        <v>22937132.216294605</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8476103.5949368626</v>
      </c>
      <c r="D12" s="9">
        <f>D7+D8+D9</f>
        <v>8768971.7737117056</v>
      </c>
      <c r="E12" s="9">
        <f>E7+E8+E9</f>
        <v>9083521.7076089419</v>
      </c>
      <c r="F12" s="9">
        <f t="shared" ref="F12:H12" si="26">F7+F8+F9</f>
        <v>9420841.1319413427</v>
      </c>
      <c r="G12" s="9">
        <f t="shared" si="26"/>
        <v>9782065.1949644443</v>
      </c>
      <c r="H12" s="9">
        <f t="shared" si="26"/>
        <v>10168378.378463937</v>
      </c>
      <c r="I12" s="9">
        <f t="shared" ref="I12:AF12" si="27">I7+I8+I9</f>
        <v>10581016.492709775</v>
      </c>
      <c r="J12" s="9">
        <f t="shared" si="27"/>
        <v>11021268.74856982</v>
      </c>
      <c r="K12" s="9">
        <f t="shared" si="27"/>
        <v>11490479.909678394</v>
      </c>
      <c r="L12" s="9">
        <f t="shared" si="27"/>
        <v>11990052.527661402</v>
      </c>
      <c r="M12" s="9">
        <f t="shared" si="27"/>
        <v>12521449.263529832</v>
      </c>
      <c r="N12" s="9">
        <f t="shared" si="27"/>
        <v>13086195.298467536</v>
      </c>
      <c r="O12" s="9">
        <f t="shared" si="27"/>
        <v>13685880.837357419</v>
      </c>
      <c r="P12" s="9">
        <f t="shared" si="27"/>
        <v>14322163.708512643</v>
      </c>
      <c r="Q12" s="9">
        <f t="shared" si="27"/>
        <v>14996772.063206369</v>
      </c>
      <c r="R12" s="9">
        <f t="shared" si="27"/>
        <v>15711507.178724997</v>
      </c>
      <c r="S12" s="9">
        <f t="shared" si="27"/>
        <v>16468246.368806114</v>
      </c>
      <c r="T12" s="9">
        <f t="shared" si="27"/>
        <v>17268946.005463429</v>
      </c>
      <c r="U12" s="9">
        <f t="shared" si="27"/>
        <v>18115644.656347174</v>
      </c>
      <c r="V12" s="9">
        <f t="shared" si="27"/>
        <v>19010466.341939908</v>
      </c>
      <c r="W12" s="9">
        <f t="shared" si="27"/>
        <v>19955623.917044494</v>
      </c>
      <c r="X12" s="9">
        <f t="shared" si="27"/>
        <v>20953422.58118365</v>
      </c>
      <c r="Y12" s="9">
        <f t="shared" si="27"/>
        <v>22006263.522698678</v>
      </c>
      <c r="Z12" s="9">
        <f t="shared" si="27"/>
        <v>23116647.701509554</v>
      </c>
      <c r="AA12" s="9">
        <f t="shared" si="27"/>
        <v>24287179.775679104</v>
      </c>
      <c r="AB12" s="9">
        <f t="shared" si="27"/>
        <v>25520572.177111179</v>
      </c>
      <c r="AC12" s="9">
        <f t="shared" si="27"/>
        <v>26819649.34190663</v>
      </c>
      <c r="AD12" s="9">
        <f t="shared" si="27"/>
        <v>28187352.101101652</v>
      </c>
      <c r="AE12" s="9">
        <f t="shared" si="27"/>
        <v>29626742.237721063</v>
      </c>
      <c r="AF12" s="9">
        <f t="shared" si="27"/>
        <v>31141007.216294609</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753828.59493686317</v>
      </c>
      <c r="D18" s="9">
        <f>Investment!D25</f>
        <v>789879.37877484271</v>
      </c>
      <c r="E18" s="9">
        <f>Investment!E25</f>
        <v>827465.49229723762</v>
      </c>
      <c r="F18" s="9">
        <f>Investment!F25</f>
        <v>866648.2806012003</v>
      </c>
      <c r="G18" s="9">
        <f>Investment!G25</f>
        <v>907491.44269250461</v>
      </c>
      <c r="H18" s="9">
        <f>Investment!H25</f>
        <v>950061.11931831622</v>
      </c>
      <c r="I18" s="9">
        <f>Investment!I25</f>
        <v>994425.984010863</v>
      </c>
      <c r="J18" s="9">
        <f>Investment!J25</f>
        <v>1040657.3374575508</v>
      </c>
      <c r="K18" s="9">
        <f>Investment!K25</f>
        <v>1088829.2053171995</v>
      </c>
      <c r="L18" s="9">
        <f>Investment!L25</f>
        <v>1139018.4396063089</v>
      </c>
      <c r="M18" s="9">
        <f>Investment!M25</f>
        <v>1191304.8237836768</v>
      </c>
      <c r="N18" s="9">
        <f>Investment!N25</f>
        <v>1245771.1816662394</v>
      </c>
      <c r="O18" s="9">
        <f>Investment!O25</f>
        <v>1302503.4903137316</v>
      </c>
      <c r="P18" s="9">
        <f>Investment!P25</f>
        <v>1361590.9970246367</v>
      </c>
      <c r="Q18" s="9">
        <f>Investment!Q25</f>
        <v>1423126.3405909583</v>
      </c>
      <c r="R18" s="9">
        <f>Investment!R25</f>
        <v>1487205.6769645722</v>
      </c>
      <c r="S18" s="9">
        <f>Investment!S25</f>
        <v>1553928.8094933317</v>
      </c>
      <c r="T18" s="9">
        <f>Investment!T25</f>
        <v>1623399.3238907198</v>
      </c>
      <c r="U18" s="9">
        <f>Investment!U25</f>
        <v>1695724.7281086193</v>
      </c>
      <c r="V18" s="9">
        <f>Investment!V25</f>
        <v>1771016.5972888011</v>
      </c>
      <c r="W18" s="9">
        <f>Investment!W25</f>
        <v>1849390.7239749313</v>
      </c>
      <c r="X18" s="9">
        <f>Investment!X25</f>
        <v>1930967.2737733496</v>
      </c>
      <c r="Y18" s="9">
        <f>Investment!Y25</f>
        <v>2015870.9466575161</v>
      </c>
      <c r="Z18" s="9">
        <f>Investment!Z25</f>
        <v>2104231.1441179258</v>
      </c>
      <c r="AA18" s="9">
        <f>Investment!AA25</f>
        <v>2196182.1423664251</v>
      </c>
      <c r="AB18" s="9">
        <f>Investment!AB25</f>
        <v>2291863.2718112506</v>
      </c>
      <c r="AC18" s="9">
        <f>Investment!AC25</f>
        <v>2391419.1030267612</v>
      </c>
      <c r="AD18" s="9">
        <f>Investment!AD25</f>
        <v>2494999.639449731</v>
      </c>
      <c r="AE18" s="9">
        <f>Investment!AE25</f>
        <v>2602760.5170422713</v>
      </c>
      <c r="AF18" s="9">
        <f>Investment!AF25</f>
        <v>2714863.2111699372</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44</v>
      </c>
      <c r="C19" s="9">
        <f>$C$6-C7+C18</f>
        <v>8957703.5949368626</v>
      </c>
      <c r="D19" s="9">
        <f>D18+C20</f>
        <v>9475354.3787748422</v>
      </c>
      <c r="E19" s="9">
        <f>E18+D20</f>
        <v>10009951.692297237</v>
      </c>
      <c r="F19" s="9">
        <f t="shared" ref="F19:AF19" si="28">F18+E20</f>
        <v>10562050.0390012</v>
      </c>
      <c r="G19" s="9">
        <f t="shared" si="28"/>
        <v>11132222.057361305</v>
      </c>
      <c r="H19" s="9">
        <f t="shared" si="28"/>
        <v>11721059.113656519</v>
      </c>
      <c r="I19" s="9">
        <f t="shared" si="28"/>
        <v>12329171.914167888</v>
      </c>
      <c r="J19" s="9">
        <f t="shared" si="28"/>
        <v>12957191.137379602</v>
      </c>
      <c r="K19" s="9">
        <f t="shared" si="28"/>
        <v>13605768.086836755</v>
      </c>
      <c r="L19" s="9">
        <f t="shared" si="28"/>
        <v>14275575.36533449</v>
      </c>
      <c r="M19" s="9">
        <f t="shared" si="28"/>
        <v>14967307.57113516</v>
      </c>
      <c r="N19" s="9">
        <f t="shared" si="28"/>
        <v>15681682.01693297</v>
      </c>
      <c r="O19" s="9">
        <f t="shared" si="28"/>
        <v>16419439.472308997</v>
      </c>
      <c r="P19" s="9">
        <f t="shared" si="28"/>
        <v>17181344.930443749</v>
      </c>
      <c r="Q19" s="9">
        <f t="shared" si="28"/>
        <v>17968188.399879485</v>
      </c>
      <c r="R19" s="9">
        <f t="shared" si="28"/>
        <v>18780785.722150333</v>
      </c>
      <c r="S19" s="9">
        <f t="shared" si="28"/>
        <v>19619979.416125041</v>
      </c>
      <c r="T19" s="9">
        <f t="shared" si="28"/>
        <v>20486639.549934641</v>
      </c>
      <c r="U19" s="9">
        <f t="shared" si="28"/>
        <v>21381664.641385946</v>
      </c>
      <c r="V19" s="9">
        <f t="shared" si="28"/>
        <v>22305982.587791003</v>
      </c>
      <c r="W19" s="9">
        <f t="shared" si="28"/>
        <v>23260551.626173202</v>
      </c>
      <c r="X19" s="9">
        <f t="shared" si="28"/>
        <v>24246361.324841965</v>
      </c>
      <c r="Y19" s="9">
        <f t="shared" si="28"/>
        <v>25264433.607360326</v>
      </c>
      <c r="Z19" s="9">
        <f t="shared" si="28"/>
        <v>26315823.809963223</v>
      </c>
      <c r="AA19" s="9">
        <f t="shared" si="28"/>
        <v>27401621.773518771</v>
      </c>
      <c r="AB19" s="9">
        <f t="shared" si="28"/>
        <v>28522952.971160475</v>
      </c>
      <c r="AC19" s="9">
        <f t="shared" si="28"/>
        <v>29680979.672755163</v>
      </c>
      <c r="AD19" s="9">
        <f t="shared" si="28"/>
        <v>30876902.147409443</v>
      </c>
      <c r="AE19" s="9">
        <f t="shared" si="28"/>
        <v>32111959.905256692</v>
      </c>
      <c r="AF19" s="9">
        <f t="shared" si="28"/>
        <v>33387432.979807217</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8685475</v>
      </c>
      <c r="D20" s="9">
        <f>D19-D8-D9</f>
        <v>9182486.1999999993</v>
      </c>
      <c r="E20" s="9">
        <f t="shared" ref="E20:AF20" si="29">E19-E8-E9</f>
        <v>9695401.7584000006</v>
      </c>
      <c r="F20" s="9">
        <f t="shared" si="29"/>
        <v>10224730.6146688</v>
      </c>
      <c r="G20" s="9">
        <f t="shared" si="29"/>
        <v>10770997.994338203</v>
      </c>
      <c r="H20" s="9">
        <f t="shared" si="29"/>
        <v>11334745.930157026</v>
      </c>
      <c r="I20" s="9">
        <f t="shared" si="29"/>
        <v>11916533.799922051</v>
      </c>
      <c r="J20" s="9">
        <f t="shared" si="29"/>
        <v>12516938.881519556</v>
      </c>
      <c r="K20" s="9">
        <f t="shared" si="29"/>
        <v>13136556.925728181</v>
      </c>
      <c r="L20" s="9">
        <f t="shared" si="29"/>
        <v>13776002.747351483</v>
      </c>
      <c r="M20" s="9">
        <f t="shared" si="29"/>
        <v>14435910.83526673</v>
      </c>
      <c r="N20" s="9">
        <f t="shared" si="29"/>
        <v>15116935.981995266</v>
      </c>
      <c r="O20" s="9">
        <f t="shared" si="29"/>
        <v>15819753.933419114</v>
      </c>
      <c r="P20" s="9">
        <f t="shared" si="29"/>
        <v>16545062.059288526</v>
      </c>
      <c r="Q20" s="9">
        <f t="shared" si="29"/>
        <v>17293580.04518576</v>
      </c>
      <c r="R20" s="9">
        <f t="shared" si="29"/>
        <v>18066050.606631707</v>
      </c>
      <c r="S20" s="9">
        <f t="shared" si="29"/>
        <v>18863240.226043921</v>
      </c>
      <c r="T20" s="9">
        <f t="shared" si="29"/>
        <v>19685939.913277328</v>
      </c>
      <c r="U20" s="9">
        <f t="shared" si="29"/>
        <v>20534965.990502201</v>
      </c>
      <c r="V20" s="9">
        <f t="shared" si="29"/>
        <v>21411160.90219827</v>
      </c>
      <c r="W20" s="9">
        <f t="shared" si="29"/>
        <v>22315394.051068615</v>
      </c>
      <c r="X20" s="9">
        <f t="shared" si="29"/>
        <v>23248562.66070281</v>
      </c>
      <c r="Y20" s="9">
        <f t="shared" si="29"/>
        <v>24211592.665845297</v>
      </c>
      <c r="Z20" s="9">
        <f t="shared" si="29"/>
        <v>25205439.631152347</v>
      </c>
      <c r="AA20" s="9">
        <f t="shared" si="29"/>
        <v>26231089.699349225</v>
      </c>
      <c r="AB20" s="9">
        <f t="shared" si="29"/>
        <v>27289560.569728401</v>
      </c>
      <c r="AC20" s="9">
        <f t="shared" si="29"/>
        <v>28381902.507959712</v>
      </c>
      <c r="AD20" s="9">
        <f t="shared" si="29"/>
        <v>29509199.388214421</v>
      </c>
      <c r="AE20" s="9">
        <f t="shared" si="29"/>
        <v>30672569.768637281</v>
      </c>
      <c r="AF20" s="9">
        <f t="shared" si="29"/>
        <v>31873168.001233671</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36</v>
      </c>
      <c r="C22" s="9">
        <f>'Balance Sheet'!B11</f>
        <v>0</v>
      </c>
      <c r="D22" s="9">
        <f ca="1">'Balance Sheet'!C11</f>
        <v>999143.57364089461</v>
      </c>
      <c r="E22" s="9">
        <f ca="1">'Balance Sheet'!D11</f>
        <v>1895921.5243752566</v>
      </c>
      <c r="F22" s="9">
        <f ca="1">'Balance Sheet'!E11</f>
        <v>2550608.8304250985</v>
      </c>
      <c r="G22" s="9">
        <f ca="1">'Balance Sheet'!F11</f>
        <v>3019324.541331335</v>
      </c>
      <c r="H22" s="9">
        <f ca="1">'Balance Sheet'!G11</f>
        <v>3393575.1462613842</v>
      </c>
      <c r="I22" s="9">
        <f ca="1">'Balance Sheet'!H11</f>
        <v>3691868.9780030609</v>
      </c>
      <c r="J22" s="9">
        <f ca="1">'Balance Sheet'!I11</f>
        <v>3963932.183891899</v>
      </c>
      <c r="K22" s="9">
        <f ca="1">'Balance Sheet'!J11</f>
        <v>4202723.6553202067</v>
      </c>
      <c r="L22" s="9">
        <f ca="1">'Balance Sheet'!K11</f>
        <v>4433356.4337848946</v>
      </c>
      <c r="M22" s="9">
        <f ca="1">'Balance Sheet'!L11</f>
        <v>4652780.0751730315</v>
      </c>
      <c r="N22" s="9">
        <f ca="1">'Balance Sheet'!M11</f>
        <v>4876146.6178283682</v>
      </c>
      <c r="O22" s="9">
        <f ca="1">'Balance Sheet'!N11</f>
        <v>5102385.6245418461</v>
      </c>
      <c r="P22" s="9">
        <f ca="1">'Balance Sheet'!O11</f>
        <v>5330279.574774907</v>
      </c>
      <c r="Q22" s="9">
        <f ca="1">'Balance Sheet'!P11</f>
        <v>5558451.2792984787</v>
      </c>
      <c r="R22" s="9">
        <f ca="1">'Balance Sheet'!Q11</f>
        <v>5785350.4095656732</v>
      </c>
      <c r="S22" s="9">
        <f ca="1">'Balance Sheet'!R11</f>
        <v>6009239.085943561</v>
      </c>
      <c r="T22" s="9">
        <f ca="1">'Balance Sheet'!S11</f>
        <v>6228176.4656336568</v>
      </c>
      <c r="U22" s="9">
        <f ca="1">'Balance Sheet'!T11</f>
        <v>6440002.2676292192</v>
      </c>
      <c r="V22" s="9">
        <f ca="1">'Balance Sheet'!U11</f>
        <v>6642319.168380009</v>
      </c>
      <c r="W22" s="9">
        <f ca="1">'Balance Sheet'!V11</f>
        <v>6861257.9565209262</v>
      </c>
      <c r="X22" s="9">
        <f ca="1">'Balance Sheet'!W11</f>
        <v>7097524.0721127084</v>
      </c>
      <c r="Y22" s="9">
        <f ca="1">'Balance Sheet'!X11</f>
        <v>7351833.0056626331</v>
      </c>
      <c r="Z22" s="9">
        <f ca="1">'Balance Sheet'!Y11</f>
        <v>7624909.2029743763</v>
      </c>
      <c r="AA22" s="9">
        <f ca="1">'Balance Sheet'!Z11</f>
        <v>7917484.8406180711</v>
      </c>
      <c r="AB22" s="9">
        <f ca="1">'Balance Sheet'!AA11</f>
        <v>8230298.4626289355</v>
      </c>
      <c r="AC22" s="9">
        <f ca="1">'Balance Sheet'!AB11</f>
        <v>8564093.4684752896</v>
      </c>
      <c r="AD22" s="9">
        <f ca="1">'Balance Sheet'!AC11</f>
        <v>8957494.1675525513</v>
      </c>
      <c r="AE22" s="9">
        <f ca="1">'Balance Sheet'!AD11</f>
        <v>9446484.9761618897</v>
      </c>
      <c r="AF22" s="9">
        <f ca="1">'Balance Sheet'!AE11</f>
        <v>10038879.522524491</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37</v>
      </c>
      <c r="C23" s="9">
        <f>C20-C22</f>
        <v>8685475</v>
      </c>
      <c r="D23" s="9">
        <f t="shared" ref="D23:AF23" ca="1" si="30">D20-D22</f>
        <v>8183342.6263591051</v>
      </c>
      <c r="E23" s="9">
        <f t="shared" ca="1" si="30"/>
        <v>7799480.2340247445</v>
      </c>
      <c r="F23" s="9">
        <f t="shared" ca="1" si="30"/>
        <v>7674121.784243701</v>
      </c>
      <c r="G23" s="9">
        <f t="shared" ca="1" si="30"/>
        <v>7751673.4530068683</v>
      </c>
      <c r="H23" s="9">
        <f t="shared" ca="1" si="30"/>
        <v>7941170.7838956416</v>
      </c>
      <c r="I23" s="9">
        <f t="shared" ca="1" si="30"/>
        <v>8224664.8219189905</v>
      </c>
      <c r="J23" s="9">
        <f ca="1">J20-J22</f>
        <v>8553006.6976276562</v>
      </c>
      <c r="K23" s="9">
        <f t="shared" ca="1" si="30"/>
        <v>8933833.2704079747</v>
      </c>
      <c r="L23" s="9">
        <f t="shared" ca="1" si="30"/>
        <v>9342646.3135665879</v>
      </c>
      <c r="M23" s="9">
        <f t="shared" ca="1" si="30"/>
        <v>9783130.7600936983</v>
      </c>
      <c r="N23" s="9">
        <f t="shared" ca="1" si="30"/>
        <v>10240789.364166897</v>
      </c>
      <c r="O23" s="9">
        <f t="shared" ca="1" si="30"/>
        <v>10717368.308877267</v>
      </c>
      <c r="P23" s="9">
        <f t="shared" ca="1" si="30"/>
        <v>11214782.484513618</v>
      </c>
      <c r="Q23" s="9">
        <f t="shared" ca="1" si="30"/>
        <v>11735128.765887281</v>
      </c>
      <c r="R23" s="9">
        <f t="shared" ca="1" si="30"/>
        <v>12280700.197066035</v>
      </c>
      <c r="S23" s="9">
        <f t="shared" ca="1" si="30"/>
        <v>12854001.14010036</v>
      </c>
      <c r="T23" s="9">
        <f t="shared" ca="1" si="30"/>
        <v>13457763.447643671</v>
      </c>
      <c r="U23" s="9">
        <f t="shared" ca="1" si="30"/>
        <v>14094963.722872982</v>
      </c>
      <c r="V23" s="9">
        <f t="shared" ca="1" si="30"/>
        <v>14768841.733818261</v>
      </c>
      <c r="W23" s="9">
        <f t="shared" ca="1" si="30"/>
        <v>15454136.094547689</v>
      </c>
      <c r="X23" s="9">
        <f t="shared" ca="1" si="30"/>
        <v>16151038.5885901</v>
      </c>
      <c r="Y23" s="9">
        <f t="shared" ca="1" si="30"/>
        <v>16859759.660182662</v>
      </c>
      <c r="Z23" s="9">
        <f t="shared" ca="1" si="30"/>
        <v>17580530.428177971</v>
      </c>
      <c r="AA23" s="9">
        <f t="shared" ca="1" si="30"/>
        <v>18313604.858731154</v>
      </c>
      <c r="AB23" s="9">
        <f t="shared" ca="1" si="30"/>
        <v>19059262.107099466</v>
      </c>
      <c r="AC23" s="9">
        <f t="shared" ca="1" si="30"/>
        <v>19817809.039484423</v>
      </c>
      <c r="AD23" s="9">
        <f t="shared" ca="1" si="30"/>
        <v>20551705.220661871</v>
      </c>
      <c r="AE23" s="9">
        <f t="shared" ca="1" si="30"/>
        <v>21226084.792475391</v>
      </c>
      <c r="AF23" s="9">
        <f t="shared" ca="1" si="30"/>
        <v>21834288.47870918</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166</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0</v>
      </c>
      <c r="D5" s="1">
        <f ca="1">C5+C6</f>
        <v>999143.57364089461</v>
      </c>
      <c r="E5" s="1">
        <f t="shared" ref="E5:AF5" ca="1" si="1">D5+D6</f>
        <v>1895921.5243752566</v>
      </c>
      <c r="F5" s="1">
        <f t="shared" ca="1" si="1"/>
        <v>2550608.8304250985</v>
      </c>
      <c r="G5" s="1">
        <f t="shared" ca="1" si="1"/>
        <v>3019324.541331335</v>
      </c>
      <c r="H5" s="1">
        <f t="shared" ca="1" si="1"/>
        <v>3393575.1462613842</v>
      </c>
      <c r="I5" s="1">
        <f t="shared" ca="1" si="1"/>
        <v>3691868.9780030609</v>
      </c>
      <c r="J5" s="1">
        <f t="shared" ca="1" si="1"/>
        <v>3963932.183891899</v>
      </c>
      <c r="K5" s="1">
        <f t="shared" ca="1" si="1"/>
        <v>4202723.6553202067</v>
      </c>
      <c r="L5" s="1">
        <f t="shared" ca="1" si="1"/>
        <v>4433356.4337848946</v>
      </c>
      <c r="M5" s="1">
        <f t="shared" ca="1" si="1"/>
        <v>4652780.0751730315</v>
      </c>
      <c r="N5" s="1">
        <f t="shared" ca="1" si="1"/>
        <v>4876146.6178283682</v>
      </c>
      <c r="O5" s="1">
        <f t="shared" ca="1" si="1"/>
        <v>5102385.6245418461</v>
      </c>
      <c r="P5" s="1">
        <f t="shared" ca="1" si="1"/>
        <v>5330279.574774907</v>
      </c>
      <c r="Q5" s="1">
        <f t="shared" ca="1" si="1"/>
        <v>5558451.2792984787</v>
      </c>
      <c r="R5" s="1">
        <f t="shared" ca="1" si="1"/>
        <v>5785350.4095656732</v>
      </c>
      <c r="S5" s="1">
        <f t="shared" ca="1" si="1"/>
        <v>6009239.085943561</v>
      </c>
      <c r="T5" s="1">
        <f t="shared" ca="1" si="1"/>
        <v>6228176.4656336568</v>
      </c>
      <c r="U5" s="1">
        <f t="shared" ca="1" si="1"/>
        <v>6440002.2676292192</v>
      </c>
      <c r="V5" s="1">
        <f t="shared" ca="1" si="1"/>
        <v>6642319.168380009</v>
      </c>
      <c r="W5" s="1">
        <f t="shared" ca="1" si="1"/>
        <v>6861257.9565209262</v>
      </c>
      <c r="X5" s="1">
        <f t="shared" ca="1" si="1"/>
        <v>7097524.0721127084</v>
      </c>
      <c r="Y5" s="1">
        <f t="shared" ca="1" si="1"/>
        <v>7351833.0056626331</v>
      </c>
      <c r="Z5" s="1">
        <f t="shared" ca="1" si="1"/>
        <v>7624909.2029743763</v>
      </c>
      <c r="AA5" s="1">
        <f t="shared" ca="1" si="1"/>
        <v>7917484.8406180711</v>
      </c>
      <c r="AB5" s="1">
        <f t="shared" ca="1" si="1"/>
        <v>8230298.4626289355</v>
      </c>
      <c r="AC5" s="1">
        <f t="shared" ca="1" si="1"/>
        <v>8564093.4684752896</v>
      </c>
      <c r="AD5" s="1">
        <f t="shared" ca="1" si="1"/>
        <v>8957494.1675525513</v>
      </c>
      <c r="AE5" s="1">
        <f t="shared" ca="1" si="1"/>
        <v>9446484.9761618897</v>
      </c>
      <c r="AF5" s="1">
        <f t="shared" ca="1" si="1"/>
        <v>10038879.522524491</v>
      </c>
      <c r="AG5" s="1"/>
      <c r="AH5" s="1"/>
      <c r="AI5" s="1"/>
      <c r="AJ5" s="1"/>
      <c r="AK5" s="1"/>
      <c r="AL5" s="1"/>
      <c r="AM5" s="1"/>
      <c r="AN5" s="1"/>
      <c r="AO5" s="1"/>
      <c r="AP5" s="1"/>
    </row>
    <row r="6" spans="1:42" x14ac:dyDescent="0.35">
      <c r="A6" s="63" t="s">
        <v>3</v>
      </c>
      <c r="C6" s="1">
        <f ca="1">-'Cash Flow'!C13</f>
        <v>999143.57364089461</v>
      </c>
      <c r="D6" s="1">
        <f ca="1">-'Cash Flow'!D13</f>
        <v>896777.95073436189</v>
      </c>
      <c r="E6" s="1">
        <f ca="1">-'Cash Flow'!E13</f>
        <v>654687.30604984169</v>
      </c>
      <c r="F6" s="1">
        <f ca="1">-'Cash Flow'!F13</f>
        <v>468715.71090623655</v>
      </c>
      <c r="G6" s="1">
        <f ca="1">-'Cash Flow'!G13</f>
        <v>374250.60493004916</v>
      </c>
      <c r="H6" s="1">
        <f ca="1">-'Cash Flow'!H13</f>
        <v>298293.83174167667</v>
      </c>
      <c r="I6" s="1">
        <f ca="1">-'Cash Flow'!I13</f>
        <v>272063.20588883793</v>
      </c>
      <c r="J6" s="1">
        <f ca="1">-'Cash Flow'!J13</f>
        <v>238791.47142830782</v>
      </c>
      <c r="K6" s="1">
        <f ca="1">-'Cash Flow'!K13</f>
        <v>230632.77846468776</v>
      </c>
      <c r="L6" s="1">
        <f ca="1">-'Cash Flow'!L13</f>
        <v>219423.64138813666</v>
      </c>
      <c r="M6" s="1">
        <f ca="1">-'Cash Flow'!M13</f>
        <v>223366.54265533667</v>
      </c>
      <c r="N6" s="1">
        <f ca="1">-'Cash Flow'!N13</f>
        <v>226239.00671347766</v>
      </c>
      <c r="O6" s="1">
        <f ca="1">-'Cash Flow'!O13</f>
        <v>227893.95023306087</v>
      </c>
      <c r="P6" s="1">
        <f ca="1">-'Cash Flow'!P13</f>
        <v>228171.70452357223</v>
      </c>
      <c r="Q6" s="1">
        <f ca="1">-'Cash Flow'!Q13</f>
        <v>226899.13026719471</v>
      </c>
      <c r="R6" s="1">
        <f ca="1">-'Cash Flow'!R13</f>
        <v>223888.67637788784</v>
      </c>
      <c r="S6" s="1">
        <f ca="1">-'Cash Flow'!S13</f>
        <v>218937.37969009532</v>
      </c>
      <c r="T6" s="1">
        <f ca="1">-'Cash Flow'!T13</f>
        <v>211825.80199556239</v>
      </c>
      <c r="U6" s="1">
        <f ca="1">-'Cash Flow'!U13</f>
        <v>202316.90075078956</v>
      </c>
      <c r="V6" s="1">
        <f ca="1">-'Cash Flow'!V13</f>
        <v>218938.78814091766</v>
      </c>
      <c r="W6" s="1">
        <f ca="1">-'Cash Flow'!W13</f>
        <v>236266.11559178238</v>
      </c>
      <c r="X6" s="1">
        <f ca="1">-'Cash Flow'!X13</f>
        <v>254308.93354992499</v>
      </c>
      <c r="Y6" s="1">
        <f ca="1">-'Cash Flow'!Y13</f>
        <v>273076.1973117434</v>
      </c>
      <c r="Z6" s="1">
        <f ca="1">-'Cash Flow'!Z13</f>
        <v>292575.63764369488</v>
      </c>
      <c r="AA6" s="1">
        <f ca="1">-'Cash Flow'!AA13</f>
        <v>312813.62201086432</v>
      </c>
      <c r="AB6" s="1">
        <f ca="1">-'Cash Flow'!AB13</f>
        <v>333795.00584635325</v>
      </c>
      <c r="AC6" s="1">
        <f ca="1">-'Cash Flow'!AC13</f>
        <v>393400.69907726208</v>
      </c>
      <c r="AD6" s="1">
        <f ca="1">-'Cash Flow'!AD13</f>
        <v>488990.80860933871</v>
      </c>
      <c r="AE6" s="1">
        <f ca="1">-'Cash Flow'!AE13</f>
        <v>592394.54636260215</v>
      </c>
      <c r="AF6" s="1">
        <f ca="1">-'Cash Flow'!AF13</f>
        <v>704075.8772057998</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34970.025077431317</v>
      </c>
      <c r="D8" s="1">
        <f ca="1">IF(SUM(D5:D6)&gt;0,Assumptions!$C$26*SUM(D5:D6),Assumptions!$C$27*(SUM(D5:D6)))</f>
        <v>66357.253353133987</v>
      </c>
      <c r="E8" s="1">
        <f ca="1">IF(SUM(E5:E6)&gt;0,Assumptions!$C$26*SUM(E5:E6),Assumptions!$C$27*(SUM(E5:E6)))</f>
        <v>89271.309064878456</v>
      </c>
      <c r="F8" s="1">
        <f ca="1">IF(SUM(F5:F6)&gt;0,Assumptions!$C$26*SUM(F5:F6),Assumptions!$C$27*(SUM(F5:F6)))</f>
        <v>105676.35894659674</v>
      </c>
      <c r="G8" s="1">
        <f ca="1">IF(SUM(G5:G6)&gt;0,Assumptions!$C$26*SUM(G5:G6),Assumptions!$C$27*(SUM(G5:G6)))</f>
        <v>118775.13011914845</v>
      </c>
      <c r="H8" s="1">
        <f ca="1">IF(SUM(H5:H6)&gt;0,Assumptions!$C$26*SUM(H5:H6),Assumptions!$C$27*(SUM(H5:H6)))</f>
        <v>129215.41423010714</v>
      </c>
      <c r="I8" s="1">
        <f ca="1">IF(SUM(I5:I6)&gt;0,Assumptions!$C$26*SUM(I5:I6),Assumptions!$C$27*(SUM(I5:I6)))</f>
        <v>138737.62643621647</v>
      </c>
      <c r="J8" s="1">
        <f ca="1">IF(SUM(J5:J6)&gt;0,Assumptions!$C$26*SUM(J5:J6),Assumptions!$C$27*(SUM(J5:J6)))</f>
        <v>147095.32793620724</v>
      </c>
      <c r="K8" s="1">
        <f ca="1">IF(SUM(K5:K6)&gt;0,Assumptions!$C$26*SUM(K5:K6),Assumptions!$C$27*(SUM(K5:K6)))</f>
        <v>155167.47518247133</v>
      </c>
      <c r="L8" s="1">
        <f ca="1">IF(SUM(L5:L6)&gt;0,Assumptions!$C$26*SUM(L5:L6),Assumptions!$C$27*(SUM(L5:L6)))</f>
        <v>162847.30263105611</v>
      </c>
      <c r="M8" s="1">
        <f ca="1">IF(SUM(M5:M6)&gt;0,Assumptions!$C$26*SUM(M5:M6),Assumptions!$C$27*(SUM(M5:M6)))</f>
        <v>170665.1316239929</v>
      </c>
      <c r="N8" s="1">
        <f ca="1">IF(SUM(N5:N6)&gt;0,Assumptions!$C$26*SUM(N5:N6),Assumptions!$C$27*(SUM(N5:N6)))</f>
        <v>178583.49685896465</v>
      </c>
      <c r="O8" s="1">
        <f ca="1">IF(SUM(O5:O6)&gt;0,Assumptions!$C$26*SUM(O5:O6),Assumptions!$C$27*(SUM(O5:O6)))</f>
        <v>186559.78511712176</v>
      </c>
      <c r="P8" s="1">
        <f ca="1">IF(SUM(P5:P6)&gt;0,Assumptions!$C$26*SUM(P5:P6),Assumptions!$C$27*(SUM(P5:P6)))</f>
        <v>194545.79477544676</v>
      </c>
      <c r="Q8" s="1">
        <f ca="1">IF(SUM(Q5:Q6)&gt;0,Assumptions!$C$26*SUM(Q5:Q6),Assumptions!$C$27*(SUM(Q5:Q6)))</f>
        <v>202487.26433479859</v>
      </c>
      <c r="R8" s="1">
        <f ca="1">IF(SUM(R5:R6)&gt;0,Assumptions!$C$26*SUM(R5:R6),Assumptions!$C$27*(SUM(R5:R6)))</f>
        <v>210323.36800802467</v>
      </c>
      <c r="S8" s="1">
        <f ca="1">IF(SUM(S5:S6)&gt;0,Assumptions!$C$26*SUM(S5:S6),Assumptions!$C$27*(SUM(S5:S6)))</f>
        <v>217986.176297178</v>
      </c>
      <c r="T8" s="1">
        <f ca="1">IF(SUM(T5:T6)&gt;0,Assumptions!$C$26*SUM(T5:T6),Assumptions!$C$27*(SUM(T5:T6)))</f>
        <v>225400.0793670227</v>
      </c>
      <c r="U8" s="1">
        <f ca="1">IF(SUM(U5:U6)&gt;0,Assumptions!$C$26*SUM(U5:U6),Assumptions!$C$27*(SUM(U5:U6)))</f>
        <v>232481.17089330032</v>
      </c>
      <c r="V8" s="1">
        <f ca="1">IF(SUM(V5:V6)&gt;0,Assumptions!$C$26*SUM(V5:V6),Assumptions!$C$27*(SUM(V5:V6)))</f>
        <v>240144.02847823245</v>
      </c>
      <c r="W8" s="1">
        <f ca="1">IF(SUM(W5:W6)&gt;0,Assumptions!$C$26*SUM(W5:W6),Assumptions!$C$27*(SUM(W5:W6)))</f>
        <v>248413.34252394483</v>
      </c>
      <c r="X8" s="1">
        <f ca="1">IF(SUM(X5:X6)&gt;0,Assumptions!$C$26*SUM(X5:X6),Assumptions!$C$27*(SUM(X5:X6)))</f>
        <v>257314.15519819219</v>
      </c>
      <c r="Y8" s="1">
        <f ca="1">IF(SUM(Y5:Y6)&gt;0,Assumptions!$C$26*SUM(Y5:Y6),Assumptions!$C$27*(SUM(Y5:Y6)))</f>
        <v>266871.82210410322</v>
      </c>
      <c r="Z8" s="1">
        <f ca="1">IF(SUM(Z5:Z6)&gt;0,Assumptions!$C$26*SUM(Z5:Z6),Assumptions!$C$27*(SUM(Z5:Z6)))</f>
        <v>277111.96942163253</v>
      </c>
      <c r="AA8" s="1">
        <f ca="1">IF(SUM(AA5:AA6)&gt;0,Assumptions!$C$26*SUM(AA5:AA6),Assumptions!$C$27*(SUM(AA5:AA6)))</f>
        <v>288060.44619201275</v>
      </c>
      <c r="AB8" s="1">
        <f ca="1">IF(SUM(AB5:AB6)&gt;0,Assumptions!$C$26*SUM(AB5:AB6),Assumptions!$C$27*(SUM(AB5:AB6)))</f>
        <v>299743.27139663516</v>
      </c>
      <c r="AC8" s="1">
        <f ca="1">IF(SUM(AC5:AC6)&gt;0,Assumptions!$C$26*SUM(AC5:AC6),Assumptions!$C$27*(SUM(AC5:AC6)))</f>
        <v>313512.29586433934</v>
      </c>
      <c r="AD8" s="1">
        <f ca="1">IF(SUM(AD5:AD6)&gt;0,Assumptions!$C$26*SUM(AD5:AD6),Assumptions!$C$27*(SUM(AD5:AD6)))</f>
        <v>330626.97416566615</v>
      </c>
      <c r="AE8" s="1">
        <f ca="1">IF(SUM(AE5:AE6)&gt;0,Assumptions!$C$26*SUM(AE5:AE6),Assumptions!$C$27*(SUM(AE5:AE6)))</f>
        <v>351360.7832883572</v>
      </c>
      <c r="AF8" s="1">
        <f ca="1">IF(SUM(AF5:AF6)&gt;0,Assumptions!$C$26*SUM(AF5:AF6),Assumptions!$C$27*(SUM(AF5:AF6)))</f>
        <v>376003.43899056024</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zoomScaleNormal="100"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6"/>
  <sheetViews>
    <sheetView zoomScaleNormal="100" workbookViewId="0">
      <selection sqref="A1:XFD1048576"/>
    </sheetView>
  </sheetViews>
  <sheetFormatPr defaultRowHeight="15.5" x14ac:dyDescent="0.35"/>
  <cols>
    <col min="1" max="1" width="107.9140625" style="63" customWidth="1"/>
    <col min="2" max="2" width="18.1640625" style="63" bestFit="1" customWidth="1"/>
    <col min="3" max="3" width="37.33203125" style="63" customWidth="1"/>
    <col min="4" max="16384" width="8.6640625" style="63"/>
  </cols>
  <sheetData>
    <row r="1" spans="1:3" ht="26" x14ac:dyDescent="0.6">
      <c r="A1" s="13" t="s">
        <v>185</v>
      </c>
    </row>
    <row r="2" spans="1:3" ht="26" x14ac:dyDescent="0.6">
      <c r="A2" s="13"/>
    </row>
    <row r="3" spans="1:3" ht="186" x14ac:dyDescent="0.35">
      <c r="A3" s="173" t="s">
        <v>188</v>
      </c>
    </row>
    <row r="4" spans="1:3" ht="26" x14ac:dyDescent="0.6">
      <c r="A4" s="13"/>
      <c r="B4" s="179"/>
    </row>
    <row r="5" spans="1:3" ht="18.5" x14ac:dyDescent="0.45">
      <c r="A5" s="89" t="s">
        <v>177</v>
      </c>
      <c r="B5" s="180"/>
    </row>
    <row r="6" spans="1:3" ht="18.5" x14ac:dyDescent="0.45">
      <c r="A6" s="90"/>
      <c r="B6" s="180"/>
    </row>
    <row r="7" spans="1:3" ht="18.5" x14ac:dyDescent="0.45">
      <c r="A7" s="90" t="s">
        <v>96</v>
      </c>
      <c r="B7" s="181">
        <f>Assumptions!C24</f>
        <v>135000</v>
      </c>
      <c r="C7" s="190" t="s">
        <v>136</v>
      </c>
    </row>
    <row r="8" spans="1:3" ht="34" x14ac:dyDescent="0.45">
      <c r="A8" s="90" t="s">
        <v>174</v>
      </c>
      <c r="B8" s="182">
        <f>Assumptions!$C$133</f>
        <v>0.7</v>
      </c>
      <c r="C8" s="190" t="s">
        <v>199</v>
      </c>
    </row>
    <row r="9" spans="1:3" ht="18.5" x14ac:dyDescent="0.45">
      <c r="A9" s="90"/>
      <c r="B9" s="183"/>
      <c r="C9" s="190"/>
    </row>
    <row r="10" spans="1:3" ht="102" x14ac:dyDescent="0.45">
      <c r="A10" s="94" t="s">
        <v>102</v>
      </c>
      <c r="B10" s="184">
        <f>Assumptions!C135</f>
        <v>74.074074074074076</v>
      </c>
      <c r="C10" s="190" t="s">
        <v>200</v>
      </c>
    </row>
    <row r="11" spans="1:3" ht="18.5" x14ac:dyDescent="0.45">
      <c r="A11" s="94"/>
      <c r="B11" s="185"/>
      <c r="C11" s="190"/>
    </row>
    <row r="12" spans="1:3" ht="18.5" x14ac:dyDescent="0.45">
      <c r="A12" s="94" t="s">
        <v>184</v>
      </c>
      <c r="B12" s="181">
        <f>(B7*B8)/B10</f>
        <v>1275.75</v>
      </c>
      <c r="C12" s="190"/>
    </row>
    <row r="13" spans="1:3" ht="18.5" x14ac:dyDescent="0.45">
      <c r="A13" s="96"/>
      <c r="B13" s="186"/>
      <c r="C13" s="190"/>
    </row>
    <row r="14" spans="1:3" ht="18.5" x14ac:dyDescent="0.45">
      <c r="A14" s="94" t="s">
        <v>103</v>
      </c>
      <c r="B14" s="103">
        <v>1</v>
      </c>
      <c r="C14" s="190"/>
    </row>
    <row r="15" spans="1:3" ht="18.5" x14ac:dyDescent="0.45">
      <c r="A15" s="96"/>
      <c r="B15" s="99"/>
      <c r="C15" s="190"/>
    </row>
    <row r="16" spans="1:3" ht="18.5" x14ac:dyDescent="0.45">
      <c r="A16" s="96" t="s">
        <v>179</v>
      </c>
      <c r="B16" s="187">
        <f>B12/B14</f>
        <v>1275.75</v>
      </c>
      <c r="C16" s="190"/>
    </row>
    <row r="17" spans="1:3" ht="18.5" x14ac:dyDescent="0.45">
      <c r="A17" s="94"/>
      <c r="B17" s="188"/>
      <c r="C17" s="190"/>
    </row>
    <row r="18" spans="1:3" ht="18.5" x14ac:dyDescent="0.45">
      <c r="A18" s="102" t="s">
        <v>178</v>
      </c>
      <c r="B18" s="188"/>
      <c r="C18" s="190"/>
    </row>
    <row r="19" spans="1:3" ht="18.5" x14ac:dyDescent="0.45">
      <c r="A19" s="94"/>
      <c r="B19" s="188"/>
      <c r="C19" s="190"/>
    </row>
    <row r="20" spans="1:3" ht="51" x14ac:dyDescent="0.45">
      <c r="A20" s="94" t="s">
        <v>65</v>
      </c>
      <c r="B20" s="181">
        <f>'Profit and Loss'!L5</f>
        <v>1790499.246636654</v>
      </c>
      <c r="C20" s="190" t="s">
        <v>201</v>
      </c>
    </row>
    <row r="21" spans="1:3" ht="34" x14ac:dyDescent="0.45">
      <c r="A21" s="94" t="str">
        <f>A8</f>
        <v>Assumed revenue from households</v>
      </c>
      <c r="B21" s="182">
        <f>B8</f>
        <v>0.7</v>
      </c>
      <c r="C21" s="190" t="s">
        <v>199</v>
      </c>
    </row>
    <row r="22" spans="1:3" ht="18.5" x14ac:dyDescent="0.45">
      <c r="A22" s="94"/>
      <c r="B22" s="185"/>
      <c r="C22" s="190"/>
    </row>
    <row r="23" spans="1:3" ht="34" x14ac:dyDescent="0.45">
      <c r="A23" s="94" t="s">
        <v>101</v>
      </c>
      <c r="B23" s="184">
        <f>Assumptions!M135</f>
        <v>74.074074074074076</v>
      </c>
      <c r="C23" s="190" t="s">
        <v>202</v>
      </c>
    </row>
    <row r="24" spans="1:3" ht="18.5" x14ac:dyDescent="0.45">
      <c r="A24" s="94"/>
      <c r="B24" s="185"/>
      <c r="C24" s="190"/>
    </row>
    <row r="25" spans="1:3" ht="18.5" x14ac:dyDescent="0.45">
      <c r="A25" s="94" t="s">
        <v>183</v>
      </c>
      <c r="B25" s="181">
        <f>(B20*B21)/B23</f>
        <v>16920.21788071638</v>
      </c>
      <c r="C25" s="190"/>
    </row>
    <row r="26" spans="1:3" ht="18.5" x14ac:dyDescent="0.45">
      <c r="A26" s="94"/>
      <c r="B26" s="181"/>
      <c r="C26" s="190"/>
    </row>
    <row r="27" spans="1:3" ht="51" x14ac:dyDescent="0.45">
      <c r="A27" s="94" t="s">
        <v>103</v>
      </c>
      <c r="B27" s="103">
        <f>1.022^11</f>
        <v>1.2704566586717592</v>
      </c>
      <c r="C27" s="190" t="s">
        <v>203</v>
      </c>
    </row>
    <row r="28" spans="1:3" ht="18.5" x14ac:dyDescent="0.45">
      <c r="A28" s="96"/>
      <c r="B28" s="186"/>
      <c r="C28" s="190"/>
    </row>
    <row r="29" spans="1:3" ht="18.5" x14ac:dyDescent="0.45">
      <c r="A29" s="96" t="s">
        <v>180</v>
      </c>
      <c r="B29" s="181">
        <f>B25/B27</f>
        <v>13318.21732384494</v>
      </c>
      <c r="C29" s="190"/>
    </row>
    <row r="30" spans="1:3" ht="18.5" x14ac:dyDescent="0.45">
      <c r="A30" s="96"/>
      <c r="B30" s="186"/>
      <c r="C30" s="190"/>
    </row>
    <row r="31" spans="1:3" ht="18.5" x14ac:dyDescent="0.45">
      <c r="A31" s="102" t="s">
        <v>186</v>
      </c>
      <c r="B31" s="189"/>
      <c r="C31" s="190"/>
    </row>
    <row r="32" spans="1:3" ht="18.5" x14ac:dyDescent="0.45">
      <c r="A32" s="94"/>
      <c r="B32" s="181"/>
      <c r="C32" s="190"/>
    </row>
    <row r="33" spans="1:3" ht="51" x14ac:dyDescent="0.45">
      <c r="A33" s="94" t="s">
        <v>66</v>
      </c>
      <c r="B33" s="181">
        <f>'Profit and Loss'!AF5</f>
        <v>4018843.7500134977</v>
      </c>
      <c r="C33" s="190" t="s">
        <v>201</v>
      </c>
    </row>
    <row r="34" spans="1:3" ht="34" x14ac:dyDescent="0.45">
      <c r="A34" s="94" t="str">
        <f>A21</f>
        <v>Assumed revenue from households</v>
      </c>
      <c r="B34" s="182">
        <f>B21</f>
        <v>0.7</v>
      </c>
      <c r="C34" s="190" t="s">
        <v>199</v>
      </c>
    </row>
    <row r="35" spans="1:3" ht="18.5" x14ac:dyDescent="0.45">
      <c r="A35" s="94"/>
      <c r="B35" s="185"/>
      <c r="C35" s="190"/>
    </row>
    <row r="36" spans="1:3" ht="34" x14ac:dyDescent="0.45">
      <c r="A36" s="94" t="s">
        <v>100</v>
      </c>
      <c r="B36" s="184">
        <f>Assumptions!AG135</f>
        <v>74.074074074074076</v>
      </c>
      <c r="C36" s="190" t="s">
        <v>202</v>
      </c>
    </row>
    <row r="37" spans="1:3" ht="18.5" x14ac:dyDescent="0.45">
      <c r="A37" s="94"/>
      <c r="B37" s="185"/>
      <c r="C37" s="190"/>
    </row>
    <row r="38" spans="1:3" ht="18.5" x14ac:dyDescent="0.45">
      <c r="A38" s="94" t="s">
        <v>182</v>
      </c>
      <c r="B38" s="181">
        <f>(B33*B34)/B36</f>
        <v>37978.07343762755</v>
      </c>
      <c r="C38" s="190"/>
    </row>
    <row r="39" spans="1:3" ht="18.5" x14ac:dyDescent="0.45">
      <c r="A39" s="94"/>
      <c r="B39" s="185"/>
      <c r="C39" s="190"/>
    </row>
    <row r="40" spans="1:3" ht="51" x14ac:dyDescent="0.45">
      <c r="A40" s="94" t="s">
        <v>103</v>
      </c>
      <c r="B40" s="103">
        <f>1.022^31</f>
        <v>1.9632597808456462</v>
      </c>
      <c r="C40" s="190" t="s">
        <v>203</v>
      </c>
    </row>
    <row r="41" spans="1:3" ht="18.5" x14ac:dyDescent="0.45">
      <c r="A41" s="96"/>
      <c r="B41" s="186"/>
    </row>
    <row r="42" spans="1:3" ht="18.5" x14ac:dyDescent="0.45">
      <c r="A42" s="96" t="s">
        <v>181</v>
      </c>
      <c r="B42" s="181">
        <f>B38/B40</f>
        <v>19344.39538167946</v>
      </c>
    </row>
    <row r="43" spans="1:3" x14ac:dyDescent="0.35">
      <c r="B43" s="179"/>
    </row>
    <row r="44" spans="1:3" x14ac:dyDescent="0.35">
      <c r="B44" s="179"/>
    </row>
    <row r="45" spans="1:3" x14ac:dyDescent="0.35">
      <c r="B45" s="179"/>
    </row>
    <row r="46" spans="1:3" x14ac:dyDescent="0.35">
      <c r="B46" s="17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zoomScaleNormal="100"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zoomScaleNormal="100" workbookViewId="0">
      <pane ySplit="4" topLeftCell="A5" activePane="bottomLeft" state="frozen"/>
      <selection sqref="A1:XFD1048576"/>
      <selection pane="bottomLeft" sqref="A1:XFD1048576"/>
    </sheetView>
  </sheetViews>
  <sheetFormatPr defaultColWidth="10.83203125" defaultRowHeight="15.5" x14ac:dyDescent="0.35"/>
  <cols>
    <col min="1" max="1" width="89.9140625" style="76" bestFit="1" customWidth="1"/>
    <col min="2" max="2" width="94.6640625" style="76" bestFit="1" customWidth="1"/>
    <col min="3" max="3" width="21.58203125" style="109" bestFit="1" customWidth="1"/>
    <col min="4" max="4" width="29.58203125" style="110"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8" t="s">
        <v>161</v>
      </c>
    </row>
    <row r="2" spans="1:33" ht="26.5" thickBot="1" x14ac:dyDescent="0.4">
      <c r="A2" s="111"/>
      <c r="B2" s="111"/>
      <c r="D2" s="112"/>
    </row>
    <row r="3" spans="1:33" s="114" customFormat="1" ht="21.5" thickBot="1" x14ac:dyDescent="0.4">
      <c r="A3" s="84"/>
      <c r="B3" s="84"/>
      <c r="C3" s="113"/>
      <c r="D3" s="191" t="s">
        <v>27</v>
      </c>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row>
    <row r="4" spans="1:33" s="120" customFormat="1" ht="16" thickBot="1" x14ac:dyDescent="0.4">
      <c r="A4" s="115" t="s">
        <v>25</v>
      </c>
      <c r="B4" s="115" t="s">
        <v>196</v>
      </c>
      <c r="C4" s="116" t="s">
        <v>26</v>
      </c>
      <c r="D4" s="117">
        <v>2022</v>
      </c>
      <c r="E4" s="118">
        <f t="shared" ref="E4:AG4" si="0">D4+1</f>
        <v>2023</v>
      </c>
      <c r="F4" s="119">
        <f t="shared" si="0"/>
        <v>2024</v>
      </c>
      <c r="G4" s="118">
        <f t="shared" si="0"/>
        <v>2025</v>
      </c>
      <c r="H4" s="119">
        <f t="shared" si="0"/>
        <v>2026</v>
      </c>
      <c r="I4" s="118">
        <f t="shared" si="0"/>
        <v>2027</v>
      </c>
      <c r="J4" s="119">
        <f t="shared" si="0"/>
        <v>2028</v>
      </c>
      <c r="K4" s="118">
        <f t="shared" si="0"/>
        <v>2029</v>
      </c>
      <c r="L4" s="119">
        <f t="shared" si="0"/>
        <v>2030</v>
      </c>
      <c r="M4" s="118">
        <f t="shared" si="0"/>
        <v>2031</v>
      </c>
      <c r="N4" s="119">
        <f t="shared" si="0"/>
        <v>2032</v>
      </c>
      <c r="O4" s="118">
        <f t="shared" si="0"/>
        <v>2033</v>
      </c>
      <c r="P4" s="119">
        <f t="shared" si="0"/>
        <v>2034</v>
      </c>
      <c r="Q4" s="118">
        <f t="shared" si="0"/>
        <v>2035</v>
      </c>
      <c r="R4" s="119">
        <f t="shared" si="0"/>
        <v>2036</v>
      </c>
      <c r="S4" s="118">
        <f t="shared" si="0"/>
        <v>2037</v>
      </c>
      <c r="T4" s="119">
        <f t="shared" si="0"/>
        <v>2038</v>
      </c>
      <c r="U4" s="118">
        <f t="shared" si="0"/>
        <v>2039</v>
      </c>
      <c r="V4" s="119">
        <f t="shared" si="0"/>
        <v>2040</v>
      </c>
      <c r="W4" s="118">
        <f t="shared" si="0"/>
        <v>2041</v>
      </c>
      <c r="X4" s="119">
        <f t="shared" si="0"/>
        <v>2042</v>
      </c>
      <c r="Y4" s="118">
        <f t="shared" si="0"/>
        <v>2043</v>
      </c>
      <c r="Z4" s="119">
        <f t="shared" si="0"/>
        <v>2044</v>
      </c>
      <c r="AA4" s="118">
        <f t="shared" si="0"/>
        <v>2045</v>
      </c>
      <c r="AB4" s="119">
        <f t="shared" si="0"/>
        <v>2046</v>
      </c>
      <c r="AC4" s="118">
        <f t="shared" si="0"/>
        <v>2047</v>
      </c>
      <c r="AD4" s="119">
        <f t="shared" si="0"/>
        <v>2048</v>
      </c>
      <c r="AE4" s="118">
        <f t="shared" si="0"/>
        <v>2049</v>
      </c>
      <c r="AF4" s="119">
        <f t="shared" si="0"/>
        <v>2050</v>
      </c>
      <c r="AG4" s="118">
        <f t="shared" si="0"/>
        <v>2051</v>
      </c>
    </row>
    <row r="5" spans="1:33" s="120" customFormat="1" x14ac:dyDescent="0.35">
      <c r="A5" s="121"/>
      <c r="B5" s="121"/>
      <c r="C5" s="122"/>
      <c r="D5" s="123"/>
      <c r="E5" s="124"/>
      <c r="F5" s="123"/>
      <c r="G5" s="124"/>
      <c r="H5" s="123"/>
      <c r="I5" s="124"/>
      <c r="J5" s="123"/>
      <c r="K5" s="124"/>
      <c r="L5" s="123"/>
      <c r="M5" s="124"/>
      <c r="N5" s="123"/>
      <c r="O5" s="124"/>
      <c r="P5" s="123"/>
      <c r="Q5" s="124"/>
      <c r="R5" s="123"/>
      <c r="S5" s="124"/>
      <c r="T5" s="123"/>
      <c r="U5" s="124"/>
      <c r="V5" s="123"/>
      <c r="W5" s="124"/>
      <c r="X5" s="123"/>
      <c r="Y5" s="124"/>
      <c r="Z5" s="123"/>
      <c r="AA5" s="124"/>
      <c r="AB5" s="123"/>
      <c r="AC5" s="124"/>
      <c r="AD5" s="123"/>
      <c r="AE5" s="124"/>
      <c r="AF5" s="123"/>
      <c r="AG5" s="124"/>
    </row>
    <row r="6" spans="1:33" s="120" customFormat="1" x14ac:dyDescent="0.35">
      <c r="A6" s="125" t="s">
        <v>28</v>
      </c>
      <c r="B6" s="125"/>
      <c r="C6" s="116"/>
      <c r="D6" s="117"/>
      <c r="E6" s="118"/>
      <c r="F6" s="117"/>
      <c r="G6" s="118"/>
      <c r="H6" s="117"/>
      <c r="I6" s="118"/>
      <c r="J6" s="117"/>
      <c r="K6" s="118"/>
      <c r="L6" s="117"/>
      <c r="M6" s="118"/>
      <c r="N6" s="117"/>
      <c r="O6" s="118"/>
      <c r="P6" s="117"/>
      <c r="Q6" s="118"/>
      <c r="R6" s="117"/>
      <c r="S6" s="118"/>
      <c r="T6" s="117"/>
      <c r="U6" s="118"/>
      <c r="V6" s="117"/>
      <c r="W6" s="118"/>
      <c r="X6" s="117"/>
      <c r="Y6" s="118"/>
      <c r="Z6" s="117"/>
      <c r="AA6" s="118"/>
      <c r="AB6" s="117"/>
      <c r="AC6" s="118"/>
      <c r="AD6" s="117"/>
      <c r="AE6" s="118"/>
      <c r="AF6" s="117"/>
      <c r="AG6" s="118"/>
    </row>
    <row r="7" spans="1:33" s="120" customFormat="1" x14ac:dyDescent="0.35">
      <c r="A7" s="125"/>
      <c r="B7" s="125"/>
      <c r="C7" s="116"/>
      <c r="D7" s="117"/>
      <c r="E7" s="118"/>
      <c r="F7" s="117"/>
      <c r="G7" s="118"/>
      <c r="H7" s="117"/>
      <c r="I7" s="118"/>
      <c r="J7" s="117"/>
      <c r="K7" s="118"/>
      <c r="L7" s="117"/>
      <c r="M7" s="118"/>
      <c r="N7" s="117"/>
      <c r="O7" s="118"/>
      <c r="P7" s="117"/>
      <c r="Q7" s="118"/>
      <c r="R7" s="117"/>
      <c r="S7" s="118"/>
      <c r="T7" s="117"/>
      <c r="U7" s="118"/>
      <c r="V7" s="117"/>
      <c r="W7" s="118"/>
      <c r="X7" s="117"/>
      <c r="Y7" s="118"/>
      <c r="Z7" s="117"/>
      <c r="AA7" s="118"/>
      <c r="AB7" s="117"/>
      <c r="AC7" s="118"/>
      <c r="AD7" s="117"/>
      <c r="AE7" s="118"/>
      <c r="AF7" s="117"/>
      <c r="AG7" s="118"/>
    </row>
    <row r="8" spans="1:33" x14ac:dyDescent="0.35">
      <c r="A8" s="77" t="s">
        <v>29</v>
      </c>
      <c r="B8" s="77"/>
      <c r="C8" s="126"/>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20" customFormat="1" x14ac:dyDescent="0.35">
      <c r="A9" s="78" t="s">
        <v>62</v>
      </c>
      <c r="B9" s="78" t="s">
        <v>128</v>
      </c>
      <c r="C9" s="127">
        <v>2.1999999999999999E-2</v>
      </c>
      <c r="D9" s="128">
        <f t="shared" ref="D9:AG9" si="1">(1+$C$9)^D8</f>
        <v>1.022</v>
      </c>
      <c r="E9" s="128">
        <f t="shared" si="1"/>
        <v>1.044484</v>
      </c>
      <c r="F9" s="128">
        <f t="shared" si="1"/>
        <v>1.067462648</v>
      </c>
      <c r="G9" s="128">
        <f t="shared" si="1"/>
        <v>1.090946826256</v>
      </c>
      <c r="H9" s="128">
        <f t="shared" si="1"/>
        <v>1.114947656433632</v>
      </c>
      <c r="I9" s="128">
        <f t="shared" si="1"/>
        <v>1.1394765048751718</v>
      </c>
      <c r="J9" s="128">
        <f t="shared" si="1"/>
        <v>1.1645449879824257</v>
      </c>
      <c r="K9" s="128">
        <f t="shared" si="1"/>
        <v>1.1901649777180392</v>
      </c>
      <c r="L9" s="128">
        <f t="shared" si="1"/>
        <v>1.216348607227836</v>
      </c>
      <c r="M9" s="128">
        <f t="shared" si="1"/>
        <v>1.2431082765868484</v>
      </c>
      <c r="N9" s="128">
        <f t="shared" si="1"/>
        <v>1.2704566586717592</v>
      </c>
      <c r="O9" s="128">
        <f t="shared" si="1"/>
        <v>1.2984067051625379</v>
      </c>
      <c r="P9" s="128">
        <f t="shared" si="1"/>
        <v>1.3269716526761137</v>
      </c>
      <c r="Q9" s="128">
        <f t="shared" si="1"/>
        <v>1.356165029034988</v>
      </c>
      <c r="R9" s="128">
        <f t="shared" si="1"/>
        <v>1.386000659673758</v>
      </c>
      <c r="S9" s="128">
        <f t="shared" si="1"/>
        <v>1.4164926741865806</v>
      </c>
      <c r="T9" s="128">
        <f t="shared" si="1"/>
        <v>1.4476555130186854</v>
      </c>
      <c r="U9" s="128">
        <f t="shared" si="1"/>
        <v>1.4795039343050964</v>
      </c>
      <c r="V9" s="128">
        <f t="shared" si="1"/>
        <v>1.5120530208598086</v>
      </c>
      <c r="W9" s="128">
        <f t="shared" si="1"/>
        <v>1.5453181873187245</v>
      </c>
      <c r="X9" s="128">
        <f t="shared" si="1"/>
        <v>1.5793151874397364</v>
      </c>
      <c r="Y9" s="128">
        <f t="shared" si="1"/>
        <v>1.6140601215634105</v>
      </c>
      <c r="Z9" s="128">
        <f t="shared" si="1"/>
        <v>1.6495694442378055</v>
      </c>
      <c r="AA9" s="128">
        <f t="shared" si="1"/>
        <v>1.6858599720110374</v>
      </c>
      <c r="AB9" s="128">
        <f t="shared" si="1"/>
        <v>1.7229488913952802</v>
      </c>
      <c r="AC9" s="128">
        <f t="shared" si="1"/>
        <v>1.7608537670059765</v>
      </c>
      <c r="AD9" s="128">
        <f t="shared" si="1"/>
        <v>1.799592549880108</v>
      </c>
      <c r="AE9" s="128">
        <f t="shared" si="1"/>
        <v>1.8391835859774703</v>
      </c>
      <c r="AF9" s="128">
        <f t="shared" si="1"/>
        <v>1.8796456248689748</v>
      </c>
      <c r="AG9" s="128">
        <f t="shared" si="1"/>
        <v>1.920997828616092</v>
      </c>
    </row>
    <row r="10" spans="1:33" s="120" customFormat="1" x14ac:dyDescent="0.35">
      <c r="A10" s="78"/>
      <c r="B10" s="78"/>
      <c r="C10" s="127"/>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s="120" customFormat="1" x14ac:dyDescent="0.35">
      <c r="A11" s="77" t="s">
        <v>63</v>
      </c>
      <c r="B11" s="78" t="s">
        <v>128</v>
      </c>
      <c r="C11" s="127">
        <v>0.01</v>
      </c>
      <c r="D11" s="128">
        <f t="shared" ref="D11:AG11" si="2">(1+$C$9+$C$11)^D8</f>
        <v>1.032</v>
      </c>
      <c r="E11" s="128">
        <f t="shared" si="2"/>
        <v>1.065024</v>
      </c>
      <c r="F11" s="128">
        <f t="shared" si="2"/>
        <v>1.0991047679999999</v>
      </c>
      <c r="G11" s="128">
        <f t="shared" si="2"/>
        <v>1.1342761205759999</v>
      </c>
      <c r="H11" s="128">
        <f t="shared" si="2"/>
        <v>1.170572956434432</v>
      </c>
      <c r="I11" s="128">
        <f t="shared" si="2"/>
        <v>1.2080312910403337</v>
      </c>
      <c r="J11" s="128">
        <f t="shared" si="2"/>
        <v>1.2466882923536242</v>
      </c>
      <c r="K11" s="128">
        <f t="shared" si="2"/>
        <v>1.2865823177089404</v>
      </c>
      <c r="L11" s="128">
        <f t="shared" si="2"/>
        <v>1.3277529518756266</v>
      </c>
      <c r="M11" s="128">
        <f t="shared" si="2"/>
        <v>1.3702410463356465</v>
      </c>
      <c r="N11" s="128">
        <f t="shared" si="2"/>
        <v>1.4140887598183871</v>
      </c>
      <c r="O11" s="128">
        <f t="shared" si="2"/>
        <v>1.4593396001325756</v>
      </c>
      <c r="P11" s="128">
        <f t="shared" si="2"/>
        <v>1.5060384673368181</v>
      </c>
      <c r="Q11" s="128">
        <f t="shared" si="2"/>
        <v>1.554231698291596</v>
      </c>
      <c r="R11" s="128">
        <f t="shared" si="2"/>
        <v>1.6039671126369268</v>
      </c>
      <c r="S11" s="128">
        <f t="shared" si="2"/>
        <v>1.6552940602413089</v>
      </c>
      <c r="T11" s="128">
        <f t="shared" si="2"/>
        <v>1.7082634701690309</v>
      </c>
      <c r="U11" s="128">
        <f t="shared" si="2"/>
        <v>1.7629279012144397</v>
      </c>
      <c r="V11" s="128">
        <f t="shared" si="2"/>
        <v>1.8193415940533015</v>
      </c>
      <c r="W11" s="128">
        <f t="shared" si="2"/>
        <v>1.8775605250630074</v>
      </c>
      <c r="X11" s="128">
        <f t="shared" si="2"/>
        <v>1.9376424618650239</v>
      </c>
      <c r="Y11" s="128">
        <f t="shared" si="2"/>
        <v>1.9996470206447043</v>
      </c>
      <c r="Z11" s="128">
        <f t="shared" si="2"/>
        <v>2.0636357253053346</v>
      </c>
      <c r="AA11" s="128">
        <f t="shared" si="2"/>
        <v>2.1296720685151054</v>
      </c>
      <c r="AB11" s="128">
        <f t="shared" si="2"/>
        <v>2.1978215747075893</v>
      </c>
      <c r="AC11" s="128">
        <f t="shared" si="2"/>
        <v>2.2681518650982317</v>
      </c>
      <c r="AD11" s="128">
        <f t="shared" si="2"/>
        <v>2.340732724781375</v>
      </c>
      <c r="AE11" s="128">
        <f t="shared" si="2"/>
        <v>2.4156361719743793</v>
      </c>
      <c r="AF11" s="128">
        <f t="shared" si="2"/>
        <v>2.4929365294775594</v>
      </c>
      <c r="AG11" s="128">
        <f t="shared" si="2"/>
        <v>2.5727104984208409</v>
      </c>
    </row>
    <row r="12" spans="1:33" s="120" customFormat="1" x14ac:dyDescent="0.35">
      <c r="A12" s="77"/>
      <c r="B12" s="77"/>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s="120" customFormat="1" ht="31" x14ac:dyDescent="0.35">
      <c r="A13" s="77" t="s">
        <v>31</v>
      </c>
      <c r="B13" s="106" t="s">
        <v>138</v>
      </c>
      <c r="C13" s="127">
        <v>0</v>
      </c>
      <c r="D13" s="128">
        <f t="shared" ref="D13:AG13" si="3">(1+$C$13)^D8</f>
        <v>1</v>
      </c>
      <c r="E13" s="128">
        <f t="shared" si="3"/>
        <v>1</v>
      </c>
      <c r="F13" s="128">
        <f t="shared" si="3"/>
        <v>1</v>
      </c>
      <c r="G13" s="128">
        <f t="shared" si="3"/>
        <v>1</v>
      </c>
      <c r="H13" s="128">
        <f t="shared" si="3"/>
        <v>1</v>
      </c>
      <c r="I13" s="128">
        <f t="shared" si="3"/>
        <v>1</v>
      </c>
      <c r="J13" s="128">
        <f t="shared" si="3"/>
        <v>1</v>
      </c>
      <c r="K13" s="128">
        <f t="shared" si="3"/>
        <v>1</v>
      </c>
      <c r="L13" s="128">
        <f t="shared" si="3"/>
        <v>1</v>
      </c>
      <c r="M13" s="128">
        <f t="shared" si="3"/>
        <v>1</v>
      </c>
      <c r="N13" s="128">
        <f t="shared" si="3"/>
        <v>1</v>
      </c>
      <c r="O13" s="128">
        <f t="shared" si="3"/>
        <v>1</v>
      </c>
      <c r="P13" s="128">
        <f t="shared" si="3"/>
        <v>1</v>
      </c>
      <c r="Q13" s="128">
        <f t="shared" si="3"/>
        <v>1</v>
      </c>
      <c r="R13" s="128">
        <f t="shared" si="3"/>
        <v>1</v>
      </c>
      <c r="S13" s="128">
        <f t="shared" si="3"/>
        <v>1</v>
      </c>
      <c r="T13" s="128">
        <f t="shared" si="3"/>
        <v>1</v>
      </c>
      <c r="U13" s="128">
        <f t="shared" si="3"/>
        <v>1</v>
      </c>
      <c r="V13" s="128">
        <f t="shared" si="3"/>
        <v>1</v>
      </c>
      <c r="W13" s="128">
        <f t="shared" si="3"/>
        <v>1</v>
      </c>
      <c r="X13" s="128">
        <f t="shared" si="3"/>
        <v>1</v>
      </c>
      <c r="Y13" s="128">
        <f t="shared" si="3"/>
        <v>1</v>
      </c>
      <c r="Z13" s="128">
        <f t="shared" si="3"/>
        <v>1</v>
      </c>
      <c r="AA13" s="128">
        <f t="shared" si="3"/>
        <v>1</v>
      </c>
      <c r="AB13" s="128">
        <f t="shared" si="3"/>
        <v>1</v>
      </c>
      <c r="AC13" s="128">
        <f t="shared" si="3"/>
        <v>1</v>
      </c>
      <c r="AD13" s="128">
        <f t="shared" si="3"/>
        <v>1</v>
      </c>
      <c r="AE13" s="128">
        <f t="shared" si="3"/>
        <v>1</v>
      </c>
      <c r="AF13" s="128">
        <f t="shared" si="3"/>
        <v>1</v>
      </c>
      <c r="AG13" s="128">
        <f t="shared" si="3"/>
        <v>1</v>
      </c>
    </row>
    <row r="14" spans="1:33" ht="16" thickBot="1" x14ac:dyDescent="0.4">
      <c r="A14" s="79"/>
      <c r="B14" s="79"/>
      <c r="C14" s="129"/>
      <c r="D14" s="167"/>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33" x14ac:dyDescent="0.35">
      <c r="A15" s="80" t="s">
        <v>192</v>
      </c>
      <c r="B15" s="178" t="s">
        <v>193</v>
      </c>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x14ac:dyDescent="0.35">
      <c r="A16" s="77"/>
      <c r="B16" s="77"/>
      <c r="C16" s="126"/>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132</v>
      </c>
      <c r="B17" s="77" t="s">
        <v>170</v>
      </c>
      <c r="C17" s="136">
        <f>AVERAGE(C49:C50)</f>
        <v>16407750</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124</v>
      </c>
      <c r="C18" s="136">
        <f>C17/2</f>
        <v>8203875</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6"/>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64</v>
      </c>
      <c r="B20" s="77" t="s">
        <v>137</v>
      </c>
      <c r="C20" s="137">
        <v>0</v>
      </c>
      <c r="D20" s="140"/>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7"/>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8" customFormat="1" x14ac:dyDescent="0.35">
      <c r="A22" s="80" t="s">
        <v>159</v>
      </c>
      <c r="B22" s="178" t="s">
        <v>193</v>
      </c>
      <c r="C22" s="133"/>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x14ac:dyDescent="0.35">
      <c r="A23" s="77"/>
      <c r="B23" s="77"/>
      <c r="C23" s="126"/>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77" t="s">
        <v>136</v>
      </c>
      <c r="C24" s="136">
        <v>135000</v>
      </c>
      <c r="D24" s="140"/>
      <c r="E24" s="168"/>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x14ac:dyDescent="0.35">
      <c r="A25" s="77" t="s">
        <v>1</v>
      </c>
      <c r="B25" s="77" t="s">
        <v>195</v>
      </c>
      <c r="C25" s="136">
        <v>429586.06030000001</v>
      </c>
      <c r="D25" s="140"/>
      <c r="E25" s="168"/>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128</v>
      </c>
      <c r="C26" s="139">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46</v>
      </c>
      <c r="B27" s="78" t="s">
        <v>128</v>
      </c>
      <c r="C27" s="139">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6"/>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8" customFormat="1" x14ac:dyDescent="0.35">
      <c r="A29" s="80" t="s">
        <v>50</v>
      </c>
      <c r="B29" s="80"/>
      <c r="C29" s="133"/>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x14ac:dyDescent="0.35">
      <c r="A30" s="77"/>
      <c r="B30" s="77"/>
      <c r="C30" s="126"/>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51</v>
      </c>
      <c r="B31" s="70" t="s">
        <v>131</v>
      </c>
      <c r="C31" s="127">
        <v>0</v>
      </c>
      <c r="D31" s="140"/>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52</v>
      </c>
      <c r="B32" s="70" t="s">
        <v>131</v>
      </c>
      <c r="C32" s="127">
        <v>0</v>
      </c>
      <c r="D32" s="140"/>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81" t="s">
        <v>104</v>
      </c>
      <c r="B33" s="82" t="s">
        <v>126</v>
      </c>
      <c r="C33" s="127">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7"/>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53</v>
      </c>
      <c r="B35" s="69" t="s">
        <v>127</v>
      </c>
      <c r="C35" s="127">
        <f>$C$31</f>
        <v>0</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54</v>
      </c>
      <c r="B36" s="69" t="s">
        <v>127</v>
      </c>
      <c r="C36" s="127">
        <f t="shared" ref="C36:C37" si="4">$C$31</f>
        <v>0</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55</v>
      </c>
      <c r="B37" s="69" t="s">
        <v>127</v>
      </c>
      <c r="C37" s="127">
        <f t="shared" si="4"/>
        <v>0</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7"/>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56</v>
      </c>
      <c r="B39" s="69" t="s">
        <v>127</v>
      </c>
      <c r="C39" s="127">
        <f>$C$32</f>
        <v>0</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57</v>
      </c>
      <c r="B40" s="69" t="s">
        <v>127</v>
      </c>
      <c r="C40" s="127">
        <f t="shared" ref="C40:C41" si="5">$C$32</f>
        <v>0</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58</v>
      </c>
      <c r="B41" s="69" t="s">
        <v>127</v>
      </c>
      <c r="C41" s="127">
        <f t="shared" si="5"/>
        <v>0</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7"/>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59</v>
      </c>
      <c r="B43" s="69" t="s">
        <v>86</v>
      </c>
      <c r="C43" s="141">
        <v>1</v>
      </c>
      <c r="D43" s="142">
        <v>1</v>
      </c>
      <c r="E43" s="142">
        <v>1</v>
      </c>
      <c r="F43" s="142">
        <v>1</v>
      </c>
      <c r="G43" s="142">
        <v>1</v>
      </c>
      <c r="H43" s="142">
        <f>G43*(1+$C$35)</f>
        <v>1</v>
      </c>
      <c r="I43" s="142">
        <f>H43*(1+$C$35)</f>
        <v>1</v>
      </c>
      <c r="J43" s="142">
        <f>I43*(1+$C$35)</f>
        <v>1</v>
      </c>
      <c r="K43" s="142">
        <f>J43*(1+$C$35)</f>
        <v>1</v>
      </c>
      <c r="L43" s="142">
        <f>K43*(1+$C$35)</f>
        <v>1</v>
      </c>
      <c r="M43" s="142">
        <f>L43*(1+$C$36)</f>
        <v>1</v>
      </c>
      <c r="N43" s="142">
        <f>M43*(1+$C$36)</f>
        <v>1</v>
      </c>
      <c r="O43" s="142">
        <f>N43*(1+$C$36)</f>
        <v>1</v>
      </c>
      <c r="P43" s="142">
        <f>O43*(1+$C$36)</f>
        <v>1</v>
      </c>
      <c r="Q43" s="142">
        <f>P43*(1+$C$36)</f>
        <v>1</v>
      </c>
      <c r="R43" s="142">
        <f>Q43*(1+$C$37)</f>
        <v>1</v>
      </c>
      <c r="S43" s="142">
        <f>R43*(1+$C$37)</f>
        <v>1</v>
      </c>
      <c r="T43" s="142">
        <f>S43*(1+$C$37)</f>
        <v>1</v>
      </c>
      <c r="U43" s="142">
        <f>T43*(1+$C$37)</f>
        <v>1</v>
      </c>
      <c r="V43" s="142">
        <f>U43*(1+$C$37)</f>
        <v>1</v>
      </c>
      <c r="W43" s="142">
        <f t="shared" ref="W43:AG43" si="6">V43</f>
        <v>1</v>
      </c>
      <c r="X43" s="142">
        <f t="shared" si="6"/>
        <v>1</v>
      </c>
      <c r="Y43" s="142">
        <f t="shared" si="6"/>
        <v>1</v>
      </c>
      <c r="Z43" s="142">
        <f t="shared" si="6"/>
        <v>1</v>
      </c>
      <c r="AA43" s="142">
        <f t="shared" si="6"/>
        <v>1</v>
      </c>
      <c r="AB43" s="142">
        <f t="shared" si="6"/>
        <v>1</v>
      </c>
      <c r="AC43" s="142">
        <f t="shared" si="6"/>
        <v>1</v>
      </c>
      <c r="AD43" s="142">
        <f t="shared" si="6"/>
        <v>1</v>
      </c>
      <c r="AE43" s="142">
        <f t="shared" si="6"/>
        <v>1</v>
      </c>
      <c r="AF43" s="142">
        <f t="shared" si="6"/>
        <v>1</v>
      </c>
      <c r="AG43" s="142">
        <f t="shared" si="6"/>
        <v>1</v>
      </c>
    </row>
    <row r="44" spans="1:33" x14ac:dyDescent="0.35">
      <c r="A44" s="69" t="s">
        <v>60</v>
      </c>
      <c r="B44" s="69" t="s">
        <v>86</v>
      </c>
      <c r="C44" s="141">
        <v>1</v>
      </c>
      <c r="D44" s="142">
        <v>1</v>
      </c>
      <c r="E44" s="142">
        <v>1</v>
      </c>
      <c r="F44" s="142">
        <v>1</v>
      </c>
      <c r="G44" s="142">
        <v>1</v>
      </c>
      <c r="H44" s="142">
        <f>G44*(1+$C$39)</f>
        <v>1</v>
      </c>
      <c r="I44" s="142">
        <f>H44*(1+$C$39)</f>
        <v>1</v>
      </c>
      <c r="J44" s="142">
        <f>I44*(1+$C$39)</f>
        <v>1</v>
      </c>
      <c r="K44" s="142">
        <f>J44*(1+$C$39)</f>
        <v>1</v>
      </c>
      <c r="L44" s="142">
        <f>K44*(1+$C$39)</f>
        <v>1</v>
      </c>
      <c r="M44" s="142">
        <f>L44*(1+$C$40)</f>
        <v>1</v>
      </c>
      <c r="N44" s="142">
        <f>M44*(1+$C$40)</f>
        <v>1</v>
      </c>
      <c r="O44" s="142">
        <f>N44*(1+$C$40)</f>
        <v>1</v>
      </c>
      <c r="P44" s="142">
        <f>O44*(1+$C$40)</f>
        <v>1</v>
      </c>
      <c r="Q44" s="142">
        <f>P44*(1+$C$40)</f>
        <v>1</v>
      </c>
      <c r="R44" s="142">
        <f>Q44*(1+$C$41)</f>
        <v>1</v>
      </c>
      <c r="S44" s="142">
        <f>R44*(1+$C$41)</f>
        <v>1</v>
      </c>
      <c r="T44" s="142">
        <f>S44*(1+$C$41)</f>
        <v>1</v>
      </c>
      <c r="U44" s="142">
        <f>T44*(1+$C$41)</f>
        <v>1</v>
      </c>
      <c r="V44" s="142">
        <f>U44*(1+$C$41)</f>
        <v>1</v>
      </c>
      <c r="W44" s="142">
        <f t="shared" ref="W44:AG44" si="7">V44</f>
        <v>1</v>
      </c>
      <c r="X44" s="142">
        <f t="shared" si="7"/>
        <v>1</v>
      </c>
      <c r="Y44" s="142">
        <f t="shared" si="7"/>
        <v>1</v>
      </c>
      <c r="Z44" s="142">
        <f t="shared" si="7"/>
        <v>1</v>
      </c>
      <c r="AA44" s="142">
        <f t="shared" si="7"/>
        <v>1</v>
      </c>
      <c r="AB44" s="142">
        <f t="shared" si="7"/>
        <v>1</v>
      </c>
      <c r="AC44" s="142">
        <f t="shared" si="7"/>
        <v>1</v>
      </c>
      <c r="AD44" s="142">
        <f t="shared" si="7"/>
        <v>1</v>
      </c>
      <c r="AE44" s="142">
        <f t="shared" si="7"/>
        <v>1</v>
      </c>
      <c r="AF44" s="142">
        <f t="shared" si="7"/>
        <v>1</v>
      </c>
      <c r="AG44" s="142">
        <f t="shared" si="7"/>
        <v>1</v>
      </c>
    </row>
    <row r="45" spans="1:33" x14ac:dyDescent="0.35">
      <c r="A45" s="69" t="s">
        <v>87</v>
      </c>
      <c r="B45" s="69" t="s">
        <v>86</v>
      </c>
      <c r="C45" s="141">
        <v>1</v>
      </c>
      <c r="D45" s="142">
        <f t="shared" ref="D45:AG45" si="8">C45*(1+$C$33)</f>
        <v>1</v>
      </c>
      <c r="E45" s="142">
        <f t="shared" si="8"/>
        <v>1</v>
      </c>
      <c r="F45" s="142">
        <f t="shared" si="8"/>
        <v>1</v>
      </c>
      <c r="G45" s="142">
        <f t="shared" si="8"/>
        <v>1</v>
      </c>
      <c r="H45" s="142">
        <f t="shared" si="8"/>
        <v>1</v>
      </c>
      <c r="I45" s="142">
        <f t="shared" si="8"/>
        <v>1</v>
      </c>
      <c r="J45" s="142">
        <f t="shared" si="8"/>
        <v>1</v>
      </c>
      <c r="K45" s="142">
        <f t="shared" si="8"/>
        <v>1</v>
      </c>
      <c r="L45" s="142">
        <f t="shared" si="8"/>
        <v>1</v>
      </c>
      <c r="M45" s="142">
        <f t="shared" si="8"/>
        <v>1</v>
      </c>
      <c r="N45" s="142">
        <f t="shared" si="8"/>
        <v>1</v>
      </c>
      <c r="O45" s="142">
        <f t="shared" si="8"/>
        <v>1</v>
      </c>
      <c r="P45" s="142">
        <f t="shared" si="8"/>
        <v>1</v>
      </c>
      <c r="Q45" s="142">
        <f t="shared" si="8"/>
        <v>1</v>
      </c>
      <c r="R45" s="142">
        <f t="shared" si="8"/>
        <v>1</v>
      </c>
      <c r="S45" s="142">
        <f t="shared" si="8"/>
        <v>1</v>
      </c>
      <c r="T45" s="142">
        <f t="shared" si="8"/>
        <v>1</v>
      </c>
      <c r="U45" s="142">
        <f t="shared" si="8"/>
        <v>1</v>
      </c>
      <c r="V45" s="142">
        <f t="shared" si="8"/>
        <v>1</v>
      </c>
      <c r="W45" s="142">
        <f t="shared" si="8"/>
        <v>1</v>
      </c>
      <c r="X45" s="142">
        <f t="shared" si="8"/>
        <v>1</v>
      </c>
      <c r="Y45" s="142">
        <f t="shared" si="8"/>
        <v>1</v>
      </c>
      <c r="Z45" s="142">
        <f t="shared" si="8"/>
        <v>1</v>
      </c>
      <c r="AA45" s="142">
        <f t="shared" si="8"/>
        <v>1</v>
      </c>
      <c r="AB45" s="142">
        <f t="shared" si="8"/>
        <v>1</v>
      </c>
      <c r="AC45" s="142">
        <f t="shared" si="8"/>
        <v>1</v>
      </c>
      <c r="AD45" s="142">
        <f t="shared" si="8"/>
        <v>1</v>
      </c>
      <c r="AE45" s="142">
        <f t="shared" si="8"/>
        <v>1</v>
      </c>
      <c r="AF45" s="142">
        <f t="shared" si="8"/>
        <v>1</v>
      </c>
      <c r="AG45" s="142">
        <f t="shared" si="8"/>
        <v>1</v>
      </c>
    </row>
    <row r="46" spans="1:33" ht="16" thickBot="1" x14ac:dyDescent="0.4">
      <c r="A46" s="83"/>
      <c r="B46" s="83"/>
      <c r="C46" s="143"/>
      <c r="D46" s="130"/>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1:33" x14ac:dyDescent="0.35">
      <c r="A47" s="84" t="s">
        <v>160</v>
      </c>
      <c r="B47" s="84"/>
      <c r="C47" s="13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35">
      <c r="A48" s="69"/>
      <c r="B48" s="69"/>
      <c r="C48" s="126"/>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x14ac:dyDescent="0.35">
      <c r="A49" s="69" t="s">
        <v>106</v>
      </c>
      <c r="B49" s="77" t="s">
        <v>134</v>
      </c>
      <c r="C49" s="71">
        <v>10938500</v>
      </c>
      <c r="D49" s="140"/>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x14ac:dyDescent="0.35">
      <c r="A50" s="69" t="s">
        <v>107</v>
      </c>
      <c r="B50" s="77" t="s">
        <v>135</v>
      </c>
      <c r="C50" s="71">
        <v>21877000</v>
      </c>
      <c r="D50" s="140"/>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6"/>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119</v>
      </c>
      <c r="B52" s="77" t="s">
        <v>114</v>
      </c>
      <c r="C52" s="144">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120</v>
      </c>
      <c r="B53" s="77" t="s">
        <v>114</v>
      </c>
      <c r="C53" s="144">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4"/>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118</v>
      </c>
      <c r="B55" s="85"/>
      <c r="C55" s="144"/>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108</v>
      </c>
      <c r="B56" s="77" t="s">
        <v>171</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109</v>
      </c>
      <c r="B57" s="77" t="s">
        <v>171</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110</v>
      </c>
      <c r="B58" s="69" t="s">
        <v>86</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116</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108</v>
      </c>
      <c r="B61" s="77" t="s">
        <v>114</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109</v>
      </c>
      <c r="B62" s="77" t="s">
        <v>114</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110</v>
      </c>
      <c r="B63" s="69" t="s">
        <v>86</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6"/>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115</v>
      </c>
      <c r="B65" s="85"/>
      <c r="C65" s="126"/>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108</v>
      </c>
      <c r="B66" s="86" t="s">
        <v>86</v>
      </c>
      <c r="C66" s="71">
        <f>C49*C52/C57</f>
        <v>32307.340059687031</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109</v>
      </c>
      <c r="B67" s="86" t="s">
        <v>86</v>
      </c>
      <c r="C67" s="71">
        <f>C50*C52/C56</f>
        <v>91383.813289991391</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110</v>
      </c>
      <c r="B68" s="86" t="s">
        <v>86</v>
      </c>
      <c r="C68" s="145">
        <f>AVERAGE(C66:C67)</f>
        <v>61845.576674839213</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6"/>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117</v>
      </c>
      <c r="B70" s="85"/>
      <c r="C70" s="126"/>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108</v>
      </c>
      <c r="B71" s="86" t="s">
        <v>86</v>
      </c>
      <c r="C71" s="71">
        <f>C49*C53/C62</f>
        <v>88060.791111025756</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109</v>
      </c>
      <c r="B72" s="86" t="s">
        <v>86</v>
      </c>
      <c r="C72" s="71">
        <f>C50*C53/C61</f>
        <v>234346.37869826096</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110</v>
      </c>
      <c r="B73" s="86" t="s">
        <v>86</v>
      </c>
      <c r="C73" s="145">
        <f>AVERAGE(C71:C72)</f>
        <v>161203.58490464336</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5"/>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31" x14ac:dyDescent="0.35">
      <c r="A75" s="69" t="s">
        <v>111</v>
      </c>
      <c r="B75" s="70" t="s">
        <v>121</v>
      </c>
      <c r="C75" s="71">
        <f>C67+C73</f>
        <v>252587.39819463476</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70"/>
      <c r="C76" s="146"/>
      <c r="D76" s="147"/>
      <c r="E76" s="147"/>
      <c r="F76" s="14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ht="62" x14ac:dyDescent="0.35">
      <c r="A77" s="69" t="s">
        <v>141</v>
      </c>
      <c r="B77" s="70" t="s">
        <v>176</v>
      </c>
      <c r="C77" s="87">
        <v>18000000</v>
      </c>
      <c r="D77" s="172"/>
      <c r="E77" s="169"/>
      <c r="F77" s="148"/>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6"/>
      <c r="D78" s="147"/>
      <c r="E78" s="147"/>
      <c r="F78" s="148"/>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142</v>
      </c>
      <c r="B79" s="69" t="s">
        <v>155</v>
      </c>
      <c r="C79" s="87">
        <v>123590217.53543571</v>
      </c>
      <c r="D79" s="147"/>
      <c r="E79" s="147"/>
      <c r="F79" s="148"/>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143</v>
      </c>
      <c r="B80" s="69" t="s">
        <v>155</v>
      </c>
      <c r="C80" s="87">
        <v>150788909.03145424</v>
      </c>
      <c r="D80" s="147"/>
      <c r="E80" s="147"/>
      <c r="F80" s="148"/>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7"/>
      <c r="E81" s="147"/>
      <c r="F81" s="148"/>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144</v>
      </c>
      <c r="B82" s="69" t="s">
        <v>86</v>
      </c>
      <c r="C82" s="87">
        <f>C79+$C$77</f>
        <v>141590217.53543571</v>
      </c>
      <c r="D82" s="147"/>
      <c r="E82" s="149"/>
      <c r="F82" s="14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145</v>
      </c>
      <c r="B83" s="69" t="s">
        <v>86</v>
      </c>
      <c r="C83" s="87">
        <f>C80+$C$77</f>
        <v>168788909.03145424</v>
      </c>
      <c r="D83" s="147"/>
      <c r="E83" s="147"/>
      <c r="F83" s="14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7"/>
      <c r="E84" s="147"/>
      <c r="F84" s="14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150</v>
      </c>
      <c r="B85" s="69" t="s">
        <v>197</v>
      </c>
      <c r="C85" s="150">
        <v>230</v>
      </c>
      <c r="D85" s="147"/>
      <c r="E85" s="147"/>
      <c r="F85" s="148"/>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151</v>
      </c>
      <c r="B86" s="69" t="s">
        <v>133</v>
      </c>
      <c r="C86" s="150">
        <v>170</v>
      </c>
      <c r="D86" s="147"/>
      <c r="E86" s="147"/>
      <c r="F86" s="148"/>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113</v>
      </c>
      <c r="B87" s="69" t="s">
        <v>86</v>
      </c>
      <c r="C87" s="150">
        <f>AVERAGE(C85:C86)</f>
        <v>200</v>
      </c>
      <c r="D87" s="147"/>
      <c r="E87" s="147"/>
      <c r="F87" s="148"/>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50"/>
      <c r="D88" s="147"/>
      <c r="E88" s="147"/>
      <c r="F88" s="148"/>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146</v>
      </c>
      <c r="B89" s="69" t="s">
        <v>86</v>
      </c>
      <c r="C89" s="150">
        <f>C82/$C$87</f>
        <v>707951.08767717856</v>
      </c>
      <c r="D89" s="147"/>
      <c r="E89" s="147"/>
      <c r="F89" s="148"/>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146</v>
      </c>
      <c r="B90" s="69" t="s">
        <v>86</v>
      </c>
      <c r="C90" s="150">
        <f>C83/$C$87</f>
        <v>843944.5451572712</v>
      </c>
      <c r="D90" s="147"/>
      <c r="E90" s="147"/>
      <c r="F90" s="148"/>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50"/>
      <c r="D91" s="147"/>
      <c r="E91" s="147"/>
      <c r="F91" s="148"/>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147</v>
      </c>
      <c r="B92" s="69" t="s">
        <v>154</v>
      </c>
      <c r="C92" s="87">
        <v>70000</v>
      </c>
      <c r="D92" s="147"/>
      <c r="E92" s="147"/>
      <c r="F92" s="148"/>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7"/>
      <c r="E93" s="147"/>
      <c r="F93" s="148"/>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148</v>
      </c>
      <c r="B94" s="69" t="s">
        <v>86</v>
      </c>
      <c r="C94" s="87">
        <f>IF(C89&lt;$C$92,C89*$C$87,$C$92*$C$87)</f>
        <v>14000000</v>
      </c>
      <c r="D94" s="147"/>
      <c r="E94" s="147"/>
      <c r="F94" s="148"/>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149</v>
      </c>
      <c r="B95" s="69" t="s">
        <v>86</v>
      </c>
      <c r="C95" s="87">
        <f>IF(C90&lt;$C$92,C90*$C$87,$C$92*$C$87)</f>
        <v>14000000</v>
      </c>
      <c r="D95" s="147"/>
      <c r="E95" s="74"/>
      <c r="F95" s="148"/>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153</v>
      </c>
      <c r="B96" s="69" t="s">
        <v>86</v>
      </c>
      <c r="C96" s="87">
        <f>AVERAGE(C94:C95)</f>
        <v>14000000</v>
      </c>
      <c r="D96" s="147"/>
      <c r="E96" s="74"/>
      <c r="F96" s="148"/>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7"/>
      <c r="E97" s="74"/>
      <c r="F97" s="148"/>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98</v>
      </c>
      <c r="B98" s="69"/>
      <c r="C98" s="71">
        <v>14000000</v>
      </c>
      <c r="D98" s="169"/>
      <c r="E98" s="170"/>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7"/>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48</v>
      </c>
      <c r="B100" s="69"/>
      <c r="C100" s="126">
        <v>30</v>
      </c>
      <c r="D100" s="147"/>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6"/>
      <c r="D101" s="147"/>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49</v>
      </c>
      <c r="B102" s="69" t="s">
        <v>86</v>
      </c>
      <c r="C102" s="71">
        <f>C96/C100</f>
        <v>466666.66666666669</v>
      </c>
      <c r="D102" s="147"/>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7"/>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ht="31" x14ac:dyDescent="0.35">
      <c r="A104" s="69" t="s">
        <v>40</v>
      </c>
      <c r="B104" s="70" t="s">
        <v>130</v>
      </c>
      <c r="C104" s="151">
        <v>0.6</v>
      </c>
      <c r="D104" s="72"/>
      <c r="E104" s="73"/>
      <c r="F104" s="74"/>
      <c r="G104" s="73"/>
      <c r="H104" s="75"/>
      <c r="I104" s="73"/>
      <c r="J104" s="73"/>
      <c r="K104" s="73"/>
      <c r="L104" s="149"/>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31" x14ac:dyDescent="0.35">
      <c r="A105" s="69" t="s">
        <v>41</v>
      </c>
      <c r="B105" s="70" t="s">
        <v>129</v>
      </c>
      <c r="C105" s="151">
        <v>0.4</v>
      </c>
      <c r="D105" s="72"/>
      <c r="E105" s="73"/>
      <c r="F105" s="74"/>
      <c r="G105" s="73"/>
      <c r="H105" s="75"/>
      <c r="I105" s="73"/>
      <c r="J105" s="73"/>
      <c r="K105" s="73"/>
      <c r="L105" s="152"/>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42</v>
      </c>
      <c r="B106" s="69" t="s">
        <v>169</v>
      </c>
      <c r="C106" s="145">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43</v>
      </c>
      <c r="B107" s="69" t="s">
        <v>169</v>
      </c>
      <c r="C107" s="145">
        <f>ROUND(C63/100,1)*100</f>
        <v>100</v>
      </c>
      <c r="D107" s="72"/>
      <c r="E107" s="149"/>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6"/>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112</v>
      </c>
      <c r="B109" s="69" t="s">
        <v>125</v>
      </c>
      <c r="C109" s="139">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1"/>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67</v>
      </c>
      <c r="B111" s="69" t="s">
        <v>127</v>
      </c>
      <c r="C111" s="71"/>
      <c r="D111" s="149">
        <f t="shared" ref="D111:AG111" si="9">$C$75</f>
        <v>252587.39819463476</v>
      </c>
      <c r="E111" s="149">
        <f t="shared" si="9"/>
        <v>252587.39819463476</v>
      </c>
      <c r="F111" s="149">
        <f t="shared" si="9"/>
        <v>252587.39819463476</v>
      </c>
      <c r="G111" s="149">
        <f t="shared" si="9"/>
        <v>252587.39819463476</v>
      </c>
      <c r="H111" s="149">
        <f t="shared" si="9"/>
        <v>252587.39819463476</v>
      </c>
      <c r="I111" s="149">
        <f t="shared" si="9"/>
        <v>252587.39819463476</v>
      </c>
      <c r="J111" s="149">
        <f t="shared" si="9"/>
        <v>252587.39819463476</v>
      </c>
      <c r="K111" s="149">
        <f t="shared" si="9"/>
        <v>252587.39819463476</v>
      </c>
      <c r="L111" s="149">
        <f t="shared" si="9"/>
        <v>252587.39819463476</v>
      </c>
      <c r="M111" s="149">
        <f t="shared" si="9"/>
        <v>252587.39819463476</v>
      </c>
      <c r="N111" s="149">
        <f t="shared" si="9"/>
        <v>252587.39819463476</v>
      </c>
      <c r="O111" s="149">
        <f t="shared" si="9"/>
        <v>252587.39819463476</v>
      </c>
      <c r="P111" s="149">
        <f t="shared" si="9"/>
        <v>252587.39819463476</v>
      </c>
      <c r="Q111" s="149">
        <f t="shared" si="9"/>
        <v>252587.39819463476</v>
      </c>
      <c r="R111" s="149">
        <f t="shared" si="9"/>
        <v>252587.39819463476</v>
      </c>
      <c r="S111" s="149">
        <f t="shared" si="9"/>
        <v>252587.39819463476</v>
      </c>
      <c r="T111" s="149">
        <f t="shared" si="9"/>
        <v>252587.39819463476</v>
      </c>
      <c r="U111" s="149">
        <f t="shared" si="9"/>
        <v>252587.39819463476</v>
      </c>
      <c r="V111" s="149">
        <f t="shared" si="9"/>
        <v>252587.39819463476</v>
      </c>
      <c r="W111" s="149">
        <f t="shared" si="9"/>
        <v>252587.39819463476</v>
      </c>
      <c r="X111" s="149">
        <f t="shared" si="9"/>
        <v>252587.39819463476</v>
      </c>
      <c r="Y111" s="149">
        <f t="shared" si="9"/>
        <v>252587.39819463476</v>
      </c>
      <c r="Z111" s="149">
        <f t="shared" si="9"/>
        <v>252587.39819463476</v>
      </c>
      <c r="AA111" s="149">
        <f t="shared" si="9"/>
        <v>252587.39819463476</v>
      </c>
      <c r="AB111" s="149">
        <f t="shared" si="9"/>
        <v>252587.39819463476</v>
      </c>
      <c r="AC111" s="149">
        <f t="shared" si="9"/>
        <v>252587.39819463476</v>
      </c>
      <c r="AD111" s="149">
        <f t="shared" si="9"/>
        <v>252587.39819463476</v>
      </c>
      <c r="AE111" s="149">
        <f t="shared" si="9"/>
        <v>252587.39819463476</v>
      </c>
      <c r="AF111" s="149">
        <f t="shared" si="9"/>
        <v>252587.39819463476</v>
      </c>
      <c r="AG111" s="149">
        <f t="shared" si="9"/>
        <v>252587.39819463476</v>
      </c>
    </row>
    <row r="112" spans="1:33" x14ac:dyDescent="0.35">
      <c r="A112" s="69"/>
      <c r="B112" s="69"/>
      <c r="C112" s="7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s="153" customFormat="1" x14ac:dyDescent="0.35">
      <c r="A113" s="69" t="s">
        <v>68</v>
      </c>
      <c r="B113" s="69" t="s">
        <v>86</v>
      </c>
      <c r="C113" s="71">
        <f>SUM(D113:AG113)</f>
        <v>13999999.999999994</v>
      </c>
      <c r="D113" s="149">
        <f t="shared" ref="D113:AG113" si="10">$C$102</f>
        <v>466666.66666666669</v>
      </c>
      <c r="E113" s="149">
        <f t="shared" si="10"/>
        <v>466666.66666666669</v>
      </c>
      <c r="F113" s="149">
        <f t="shared" si="10"/>
        <v>466666.66666666669</v>
      </c>
      <c r="G113" s="149">
        <f t="shared" si="10"/>
        <v>466666.66666666669</v>
      </c>
      <c r="H113" s="149">
        <f t="shared" si="10"/>
        <v>466666.66666666669</v>
      </c>
      <c r="I113" s="149">
        <f t="shared" si="10"/>
        <v>466666.66666666669</v>
      </c>
      <c r="J113" s="149">
        <f t="shared" si="10"/>
        <v>466666.66666666669</v>
      </c>
      <c r="K113" s="149">
        <f t="shared" si="10"/>
        <v>466666.66666666669</v>
      </c>
      <c r="L113" s="149">
        <f t="shared" si="10"/>
        <v>466666.66666666669</v>
      </c>
      <c r="M113" s="149">
        <f t="shared" si="10"/>
        <v>466666.66666666669</v>
      </c>
      <c r="N113" s="149">
        <f t="shared" si="10"/>
        <v>466666.66666666669</v>
      </c>
      <c r="O113" s="149">
        <f t="shared" si="10"/>
        <v>466666.66666666669</v>
      </c>
      <c r="P113" s="149">
        <f t="shared" si="10"/>
        <v>466666.66666666669</v>
      </c>
      <c r="Q113" s="149">
        <f t="shared" si="10"/>
        <v>466666.66666666669</v>
      </c>
      <c r="R113" s="149">
        <f t="shared" si="10"/>
        <v>466666.66666666669</v>
      </c>
      <c r="S113" s="149">
        <f t="shared" si="10"/>
        <v>466666.66666666669</v>
      </c>
      <c r="T113" s="149">
        <f t="shared" si="10"/>
        <v>466666.66666666669</v>
      </c>
      <c r="U113" s="149">
        <f t="shared" si="10"/>
        <v>466666.66666666669</v>
      </c>
      <c r="V113" s="149">
        <f t="shared" si="10"/>
        <v>466666.66666666669</v>
      </c>
      <c r="W113" s="149">
        <f t="shared" si="10"/>
        <v>466666.66666666669</v>
      </c>
      <c r="X113" s="149">
        <f t="shared" si="10"/>
        <v>466666.66666666669</v>
      </c>
      <c r="Y113" s="149">
        <f t="shared" si="10"/>
        <v>466666.66666666669</v>
      </c>
      <c r="Z113" s="149">
        <f t="shared" si="10"/>
        <v>466666.66666666669</v>
      </c>
      <c r="AA113" s="149">
        <f t="shared" si="10"/>
        <v>466666.66666666669</v>
      </c>
      <c r="AB113" s="149">
        <f t="shared" si="10"/>
        <v>466666.66666666669</v>
      </c>
      <c r="AC113" s="149">
        <f t="shared" si="10"/>
        <v>466666.66666666669</v>
      </c>
      <c r="AD113" s="149">
        <f t="shared" si="10"/>
        <v>466666.66666666669</v>
      </c>
      <c r="AE113" s="149">
        <f t="shared" si="10"/>
        <v>466666.66666666669</v>
      </c>
      <c r="AF113" s="149">
        <f t="shared" si="10"/>
        <v>466666.66666666669</v>
      </c>
      <c r="AG113" s="149">
        <f t="shared" si="10"/>
        <v>466666.66666666669</v>
      </c>
    </row>
    <row r="114" spans="1:33" s="153" customFormat="1" x14ac:dyDescent="0.35">
      <c r="A114" s="69"/>
      <c r="B114" s="69"/>
      <c r="C114" s="154">
        <f>C113-C98</f>
        <v>0</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s="153" customFormat="1" x14ac:dyDescent="0.35">
      <c r="A115" s="69" t="s">
        <v>88</v>
      </c>
      <c r="B115" s="69" t="s">
        <v>86</v>
      </c>
      <c r="C115" s="126"/>
      <c r="D115" s="149">
        <f>(D113*D$44)-D113</f>
        <v>0</v>
      </c>
      <c r="E115" s="149">
        <f t="shared" ref="E115:AG115" si="11">(E113*E$44)-E113</f>
        <v>0</v>
      </c>
      <c r="F115" s="149">
        <f t="shared" si="11"/>
        <v>0</v>
      </c>
      <c r="G115" s="149">
        <f t="shared" si="11"/>
        <v>0</v>
      </c>
      <c r="H115" s="149">
        <f>(H113*H$44)-H113</f>
        <v>0</v>
      </c>
      <c r="I115" s="149">
        <f t="shared" si="11"/>
        <v>0</v>
      </c>
      <c r="J115" s="149">
        <f t="shared" si="11"/>
        <v>0</v>
      </c>
      <c r="K115" s="149">
        <f t="shared" si="11"/>
        <v>0</v>
      </c>
      <c r="L115" s="149">
        <f t="shared" si="11"/>
        <v>0</v>
      </c>
      <c r="M115" s="149">
        <f t="shared" si="11"/>
        <v>0</v>
      </c>
      <c r="N115" s="149">
        <f t="shared" si="11"/>
        <v>0</v>
      </c>
      <c r="O115" s="149">
        <f t="shared" si="11"/>
        <v>0</v>
      </c>
      <c r="P115" s="149">
        <f t="shared" si="11"/>
        <v>0</v>
      </c>
      <c r="Q115" s="149">
        <f t="shared" si="11"/>
        <v>0</v>
      </c>
      <c r="R115" s="149">
        <f t="shared" si="11"/>
        <v>0</v>
      </c>
      <c r="S115" s="149">
        <f t="shared" si="11"/>
        <v>0</v>
      </c>
      <c r="T115" s="149">
        <f t="shared" si="11"/>
        <v>0</v>
      </c>
      <c r="U115" s="149">
        <f t="shared" si="11"/>
        <v>0</v>
      </c>
      <c r="V115" s="149">
        <f t="shared" si="11"/>
        <v>0</v>
      </c>
      <c r="W115" s="149">
        <f t="shared" si="11"/>
        <v>0</v>
      </c>
      <c r="X115" s="149">
        <f t="shared" si="11"/>
        <v>0</v>
      </c>
      <c r="Y115" s="149">
        <f t="shared" si="11"/>
        <v>0</v>
      </c>
      <c r="Z115" s="149">
        <f t="shared" si="11"/>
        <v>0</v>
      </c>
      <c r="AA115" s="149">
        <f t="shared" si="11"/>
        <v>0</v>
      </c>
      <c r="AB115" s="149">
        <f t="shared" si="11"/>
        <v>0</v>
      </c>
      <c r="AC115" s="149">
        <f t="shared" si="11"/>
        <v>0</v>
      </c>
      <c r="AD115" s="149">
        <f t="shared" si="11"/>
        <v>0</v>
      </c>
      <c r="AE115" s="149">
        <f t="shared" si="11"/>
        <v>0</v>
      </c>
      <c r="AF115" s="149">
        <f t="shared" si="11"/>
        <v>0</v>
      </c>
      <c r="AG115" s="149">
        <f t="shared" si="11"/>
        <v>0</v>
      </c>
    </row>
    <row r="116" spans="1:33" s="153" customFormat="1" x14ac:dyDescent="0.35">
      <c r="A116" s="69" t="s">
        <v>89</v>
      </c>
      <c r="B116" s="69" t="s">
        <v>86</v>
      </c>
      <c r="C116" s="126"/>
      <c r="D116" s="149">
        <f t="shared" ref="D116:AG116" si="12">(D113*D$45)-D113</f>
        <v>0</v>
      </c>
      <c r="E116" s="149">
        <f t="shared" si="12"/>
        <v>0</v>
      </c>
      <c r="F116" s="149">
        <f t="shared" si="12"/>
        <v>0</v>
      </c>
      <c r="G116" s="149">
        <f t="shared" si="12"/>
        <v>0</v>
      </c>
      <c r="H116" s="149">
        <f t="shared" si="12"/>
        <v>0</v>
      </c>
      <c r="I116" s="149">
        <f t="shared" si="12"/>
        <v>0</v>
      </c>
      <c r="J116" s="149">
        <f t="shared" si="12"/>
        <v>0</v>
      </c>
      <c r="K116" s="149">
        <f t="shared" si="12"/>
        <v>0</v>
      </c>
      <c r="L116" s="149">
        <f t="shared" si="12"/>
        <v>0</v>
      </c>
      <c r="M116" s="149">
        <f t="shared" si="12"/>
        <v>0</v>
      </c>
      <c r="N116" s="149">
        <f t="shared" si="12"/>
        <v>0</v>
      </c>
      <c r="O116" s="149">
        <f t="shared" si="12"/>
        <v>0</v>
      </c>
      <c r="P116" s="149">
        <f t="shared" si="12"/>
        <v>0</v>
      </c>
      <c r="Q116" s="149">
        <f t="shared" si="12"/>
        <v>0</v>
      </c>
      <c r="R116" s="149">
        <f t="shared" si="12"/>
        <v>0</v>
      </c>
      <c r="S116" s="149">
        <f t="shared" si="12"/>
        <v>0</v>
      </c>
      <c r="T116" s="149">
        <f t="shared" si="12"/>
        <v>0</v>
      </c>
      <c r="U116" s="149">
        <f t="shared" si="12"/>
        <v>0</v>
      </c>
      <c r="V116" s="149">
        <f t="shared" si="12"/>
        <v>0</v>
      </c>
      <c r="W116" s="149">
        <f t="shared" si="12"/>
        <v>0</v>
      </c>
      <c r="X116" s="149">
        <f t="shared" si="12"/>
        <v>0</v>
      </c>
      <c r="Y116" s="149">
        <f t="shared" si="12"/>
        <v>0</v>
      </c>
      <c r="Z116" s="149">
        <f t="shared" si="12"/>
        <v>0</v>
      </c>
      <c r="AA116" s="149">
        <f t="shared" si="12"/>
        <v>0</v>
      </c>
      <c r="AB116" s="149">
        <f t="shared" si="12"/>
        <v>0</v>
      </c>
      <c r="AC116" s="149">
        <f t="shared" si="12"/>
        <v>0</v>
      </c>
      <c r="AD116" s="149">
        <f t="shared" si="12"/>
        <v>0</v>
      </c>
      <c r="AE116" s="149">
        <f t="shared" si="12"/>
        <v>0</v>
      </c>
      <c r="AF116" s="149">
        <f t="shared" si="12"/>
        <v>0</v>
      </c>
      <c r="AG116" s="149">
        <f t="shared" si="12"/>
        <v>0</v>
      </c>
    </row>
    <row r="117" spans="1:33" s="153" customFormat="1" x14ac:dyDescent="0.35">
      <c r="A117" s="69"/>
      <c r="B117" s="69"/>
      <c r="C117" s="126"/>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s="153" customFormat="1" x14ac:dyDescent="0.35">
      <c r="A118" s="69" t="s">
        <v>90</v>
      </c>
      <c r="B118" s="69" t="s">
        <v>86</v>
      </c>
      <c r="C118" s="126"/>
      <c r="D118" s="149">
        <f>D113+D115+D116</f>
        <v>466666.66666666669</v>
      </c>
      <c r="E118" s="149">
        <f t="shared" ref="E118:AG118" si="13">E113+E115+E116</f>
        <v>466666.66666666669</v>
      </c>
      <c r="F118" s="149">
        <f>F113+F115+F116</f>
        <v>466666.66666666669</v>
      </c>
      <c r="G118" s="149">
        <f t="shared" si="13"/>
        <v>466666.66666666669</v>
      </c>
      <c r="H118" s="149">
        <f t="shared" si="13"/>
        <v>466666.66666666669</v>
      </c>
      <c r="I118" s="149">
        <f t="shared" si="13"/>
        <v>466666.66666666669</v>
      </c>
      <c r="J118" s="149">
        <f t="shared" si="13"/>
        <v>466666.66666666669</v>
      </c>
      <c r="K118" s="149">
        <f t="shared" si="13"/>
        <v>466666.66666666669</v>
      </c>
      <c r="L118" s="149">
        <f t="shared" si="13"/>
        <v>466666.66666666669</v>
      </c>
      <c r="M118" s="149">
        <f t="shared" si="13"/>
        <v>466666.66666666669</v>
      </c>
      <c r="N118" s="149">
        <f t="shared" si="13"/>
        <v>466666.66666666669</v>
      </c>
      <c r="O118" s="149">
        <f t="shared" si="13"/>
        <v>466666.66666666669</v>
      </c>
      <c r="P118" s="149">
        <f t="shared" si="13"/>
        <v>466666.66666666669</v>
      </c>
      <c r="Q118" s="149">
        <f t="shared" si="13"/>
        <v>466666.66666666669</v>
      </c>
      <c r="R118" s="149">
        <f t="shared" si="13"/>
        <v>466666.66666666669</v>
      </c>
      <c r="S118" s="149">
        <f t="shared" si="13"/>
        <v>466666.66666666669</v>
      </c>
      <c r="T118" s="149">
        <f t="shared" si="13"/>
        <v>466666.66666666669</v>
      </c>
      <c r="U118" s="149">
        <f t="shared" si="13"/>
        <v>466666.66666666669</v>
      </c>
      <c r="V118" s="149">
        <f t="shared" si="13"/>
        <v>466666.66666666669</v>
      </c>
      <c r="W118" s="149">
        <f t="shared" si="13"/>
        <v>466666.66666666669</v>
      </c>
      <c r="X118" s="149">
        <f t="shared" si="13"/>
        <v>466666.66666666669</v>
      </c>
      <c r="Y118" s="149">
        <f t="shared" si="13"/>
        <v>466666.66666666669</v>
      </c>
      <c r="Z118" s="149">
        <f t="shared" si="13"/>
        <v>466666.66666666669</v>
      </c>
      <c r="AA118" s="149">
        <f t="shared" si="13"/>
        <v>466666.66666666669</v>
      </c>
      <c r="AB118" s="149">
        <f t="shared" si="13"/>
        <v>466666.66666666669</v>
      </c>
      <c r="AC118" s="149">
        <f t="shared" si="13"/>
        <v>466666.66666666669</v>
      </c>
      <c r="AD118" s="149">
        <f t="shared" si="13"/>
        <v>466666.66666666669</v>
      </c>
      <c r="AE118" s="149">
        <f t="shared" si="13"/>
        <v>466666.66666666669</v>
      </c>
      <c r="AF118" s="149">
        <f t="shared" si="13"/>
        <v>466666.66666666669</v>
      </c>
      <c r="AG118" s="149">
        <f t="shared" si="13"/>
        <v>466666.66666666669</v>
      </c>
    </row>
    <row r="119" spans="1:33" s="153" customFormat="1" x14ac:dyDescent="0.35">
      <c r="A119" s="69"/>
      <c r="B119" s="69"/>
      <c r="C119" s="126"/>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s="153" customFormat="1" x14ac:dyDescent="0.35">
      <c r="A120" s="69" t="s">
        <v>69</v>
      </c>
      <c r="B120" s="69" t="s">
        <v>86</v>
      </c>
      <c r="C120" s="126"/>
      <c r="D120" s="149">
        <f>(SUM($D$118:D118)*$C$104/$C$106)+(SUM($D$118:D118)*$C$105/$C$107)</f>
        <v>11200</v>
      </c>
      <c r="E120" s="149">
        <f>(SUM($D$118:E118)*$C$104/$C$106)+(SUM($D$118:E118)*$C$105/$C$107)</f>
        <v>22400</v>
      </c>
      <c r="F120" s="149">
        <f>(SUM($D$118:F118)*$C$104/$C$106)+(SUM($D$118:F118)*$C$105/$C$107)</f>
        <v>33600</v>
      </c>
      <c r="G120" s="149">
        <f>(SUM($D$118:G118)*$C$104/$C$106)+(SUM($D$118:G118)*$C$105/$C$107)</f>
        <v>44800</v>
      </c>
      <c r="H120" s="149">
        <f>(SUM($D$118:H118)*$C$104/$C$106)+(SUM($D$118:H118)*$C$105/$C$107)</f>
        <v>56000</v>
      </c>
      <c r="I120" s="149">
        <f>(SUM($D$118:I118)*$C$104/$C$106)+(SUM($D$118:I118)*$C$105/$C$107)</f>
        <v>67200</v>
      </c>
      <c r="J120" s="149">
        <f>(SUM($D$118:J118)*$C$104/$C$106)+(SUM($D$118:J118)*$C$105/$C$107)</f>
        <v>78400</v>
      </c>
      <c r="K120" s="149">
        <f>(SUM($D$118:K118)*$C$104/$C$106)+(SUM($D$118:K118)*$C$105/$C$107)</f>
        <v>89599.999999999985</v>
      </c>
      <c r="L120" s="149">
        <f>(SUM($D$118:L118)*$C$104/$C$106)+(SUM($D$118:L118)*$C$105/$C$107)</f>
        <v>100800</v>
      </c>
      <c r="M120" s="149">
        <f>(SUM($D$118:M118)*$C$104/$C$106)+(SUM($D$118:M118)*$C$105/$C$107)</f>
        <v>112000</v>
      </c>
      <c r="N120" s="149">
        <f>(SUM($D$118:N118)*$C$104/$C$106)+(SUM($D$118:N118)*$C$105/$C$107)</f>
        <v>123200.00000000003</v>
      </c>
      <c r="O120" s="149">
        <f>(SUM($D$118:O118)*$C$104/$C$106)+(SUM($D$118:O118)*$C$105/$C$107)</f>
        <v>134400.00000000003</v>
      </c>
      <c r="P120" s="149">
        <f>(SUM($D$118:P118)*$C$104/$C$106)+(SUM($D$118:P118)*$C$105/$C$107)</f>
        <v>145600.00000000003</v>
      </c>
      <c r="Q120" s="149">
        <f>(SUM($D$118:Q118)*$C$104/$C$106)+(SUM($D$118:Q118)*$C$105/$C$107)</f>
        <v>156800.00000000003</v>
      </c>
      <c r="R120" s="149">
        <f>(SUM($D$118:R118)*$C$104/$C$106)+(SUM($D$118:R118)*$C$105/$C$107)</f>
        <v>168000.00000000003</v>
      </c>
      <c r="S120" s="149">
        <f>(SUM($D$118:S118)*$C$104/$C$106)+(SUM($D$118:S118)*$C$105/$C$107)</f>
        <v>179200.00000000006</v>
      </c>
      <c r="T120" s="149">
        <f>(SUM($D$118:T118)*$C$104/$C$106)+(SUM($D$118:T118)*$C$105/$C$107)</f>
        <v>190400.00000000003</v>
      </c>
      <c r="U120" s="149">
        <f>(SUM($D$118:U118)*$C$104/$C$106)+(SUM($D$118:U118)*$C$105/$C$107)</f>
        <v>201600.00000000003</v>
      </c>
      <c r="V120" s="149">
        <f>(SUM($D$118:V118)*$C$104/$C$106)+(SUM($D$118:V118)*$C$105/$C$107)</f>
        <v>212800.00000000006</v>
      </c>
      <c r="W120" s="149">
        <f>(SUM($D$118:W118)*$C$104/$C$106)+(SUM($D$118:W118)*$C$105/$C$107)</f>
        <v>224000</v>
      </c>
      <c r="X120" s="149">
        <f>(SUM($D$118:X118)*$C$104/$C$106)+(SUM($D$118:X118)*$C$105/$C$107)</f>
        <v>235200</v>
      </c>
      <c r="Y120" s="149">
        <f>(SUM($D$118:Y118)*$C$104/$C$106)+(SUM($D$118:Y118)*$C$105/$C$107)</f>
        <v>246399.99999999997</v>
      </c>
      <c r="Z120" s="149">
        <f>(SUM($D$118:Z118)*$C$104/$C$106)+(SUM($D$118:Z118)*$C$105/$C$107)</f>
        <v>257599.99999999994</v>
      </c>
      <c r="AA120" s="149">
        <f>(SUM($D$118:AA118)*$C$104/$C$106)+(SUM($D$118:AA118)*$C$105/$C$107)</f>
        <v>268799.99999999994</v>
      </c>
      <c r="AB120" s="149">
        <f>(SUM($D$118:AB118)*$C$104/$C$106)+(SUM($D$118:AB118)*$C$105/$C$107)</f>
        <v>279999.99999999994</v>
      </c>
      <c r="AC120" s="149">
        <f>(SUM($D$118:AC118)*$C$104/$C$106)+(SUM($D$118:AC118)*$C$105/$C$107)</f>
        <v>291199.99999999994</v>
      </c>
      <c r="AD120" s="149">
        <f>(SUM($D$118:AD118)*$C$104/$C$106)+(SUM($D$118:AD118)*$C$105/$C$107)</f>
        <v>302399.99999999988</v>
      </c>
      <c r="AE120" s="149">
        <f>(SUM($D$118:AE118)*$C$104/$C$106)+(SUM($D$118:AE118)*$C$105/$C$107)</f>
        <v>313599.99999999988</v>
      </c>
      <c r="AF120" s="149">
        <f>(SUM($D$118:AF118)*$C$104/$C$106)+(SUM($D$118:AF118)*$C$105/$C$107)</f>
        <v>324799.99999999988</v>
      </c>
      <c r="AG120" s="149">
        <f>(SUM($D$118:AG118)*$C$104/$C$106)+(SUM($D$118:AG118)*$C$105/$C$107)</f>
        <v>335999.99999999988</v>
      </c>
    </row>
    <row r="121" spans="1:33" s="153" customFormat="1" x14ac:dyDescent="0.35">
      <c r="A121" s="87"/>
      <c r="B121" s="87"/>
      <c r="C121" s="126"/>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x14ac:dyDescent="0.35">
      <c r="A122" s="69" t="s">
        <v>91</v>
      </c>
      <c r="B122" s="69" t="s">
        <v>86</v>
      </c>
      <c r="C122" s="126"/>
      <c r="D122" s="72">
        <f>(SUM($D$118:D118)*$C$109)</f>
        <v>14000</v>
      </c>
      <c r="E122" s="72">
        <f>(SUM($D$118:E118)*$C$109)</f>
        <v>28000</v>
      </c>
      <c r="F122" s="72">
        <f>(SUM($D$118:F118)*$C$109)</f>
        <v>42000</v>
      </c>
      <c r="G122" s="72">
        <f>(SUM($D$118:G118)*$C$109)</f>
        <v>56000</v>
      </c>
      <c r="H122" s="72">
        <f>(SUM($D$118:H118)*$C$109)</f>
        <v>70000</v>
      </c>
      <c r="I122" s="72">
        <f>(SUM($D$118:I118)*$C$109)</f>
        <v>84000</v>
      </c>
      <c r="J122" s="72">
        <f>(SUM($D$118:J118)*$C$109)</f>
        <v>97999.999999999985</v>
      </c>
      <c r="K122" s="72">
        <f>(SUM($D$118:K118)*$C$109)</f>
        <v>111999.99999999999</v>
      </c>
      <c r="L122" s="72">
        <f>(SUM($D$118:L118)*$C$109)</f>
        <v>126000</v>
      </c>
      <c r="M122" s="72">
        <f>(SUM($D$118:M118)*$C$109)</f>
        <v>140000</v>
      </c>
      <c r="N122" s="72">
        <f>(SUM($D$118:N118)*$C$109)</f>
        <v>154000</v>
      </c>
      <c r="O122" s="72">
        <f>(SUM($D$118:O118)*$C$109)</f>
        <v>168000.00000000003</v>
      </c>
      <c r="P122" s="72">
        <f>(SUM($D$118:P118)*$C$109)</f>
        <v>182000.00000000003</v>
      </c>
      <c r="Q122" s="72">
        <f>(SUM($D$118:Q118)*$C$109)</f>
        <v>196000.00000000003</v>
      </c>
      <c r="R122" s="72">
        <f>(SUM($D$118:R118)*$C$109)</f>
        <v>210000.00000000006</v>
      </c>
      <c r="S122" s="72">
        <f>(SUM($D$118:S118)*$C$109)</f>
        <v>224000.00000000006</v>
      </c>
      <c r="T122" s="72">
        <f>(SUM($D$118:T118)*$C$109)</f>
        <v>238000.00000000006</v>
      </c>
      <c r="U122" s="72">
        <f>(SUM($D$118:U118)*$C$109)</f>
        <v>252000.00000000006</v>
      </c>
      <c r="V122" s="72">
        <f>(SUM($D$118:V118)*$C$109)</f>
        <v>266000</v>
      </c>
      <c r="W122" s="72">
        <f>(SUM($D$118:W118)*$C$109)</f>
        <v>280000</v>
      </c>
      <c r="X122" s="72">
        <f>(SUM($D$118:X118)*$C$109)</f>
        <v>294000</v>
      </c>
      <c r="Y122" s="72">
        <f>(SUM($D$118:Y118)*$C$109)</f>
        <v>307999.99999999994</v>
      </c>
      <c r="Z122" s="72">
        <f>(SUM($D$118:Z118)*$C$109)</f>
        <v>321999.99999999994</v>
      </c>
      <c r="AA122" s="72">
        <f>(SUM($D$118:AA118)*$C$109)</f>
        <v>335999.99999999994</v>
      </c>
      <c r="AB122" s="72">
        <f>(SUM($D$118:AB118)*$C$109)</f>
        <v>349999.99999999988</v>
      </c>
      <c r="AC122" s="72">
        <f>(SUM($D$118:AC118)*$C$109)</f>
        <v>363999.99999999988</v>
      </c>
      <c r="AD122" s="72">
        <f>(SUM($D$118:AD118)*$C$109)</f>
        <v>377999.99999999988</v>
      </c>
      <c r="AE122" s="72">
        <f>(SUM($D$118:AE118)*$C$109)</f>
        <v>391999.99999999988</v>
      </c>
      <c r="AF122" s="72">
        <f>(SUM($D$118:AF118)*$C$109)</f>
        <v>405999.99999999983</v>
      </c>
      <c r="AG122" s="72">
        <f>(SUM($D$118:AG118)*$C$109)</f>
        <v>419999.99999999983</v>
      </c>
    </row>
    <row r="123" spans="1:33" ht="16" thickBot="1" x14ac:dyDescent="0.4">
      <c r="A123" s="83"/>
      <c r="B123" s="83"/>
      <c r="C123" s="129"/>
      <c r="D123" s="130"/>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row>
    <row r="124" spans="1:33" s="138" customFormat="1" x14ac:dyDescent="0.35">
      <c r="A124" s="80" t="s">
        <v>47</v>
      </c>
      <c r="B124" s="80"/>
      <c r="C124" s="13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s="73" customFormat="1" x14ac:dyDescent="0.35">
      <c r="A125" s="88"/>
      <c r="B125" s="88"/>
      <c r="C125" s="126"/>
      <c r="D125" s="72"/>
    </row>
    <row r="126" spans="1:33" s="73" customFormat="1" x14ac:dyDescent="0.35">
      <c r="A126" s="77" t="s">
        <v>152</v>
      </c>
      <c r="B126" s="77" t="s">
        <v>197</v>
      </c>
      <c r="C126" s="126">
        <v>230</v>
      </c>
      <c r="D126" s="140"/>
    </row>
    <row r="127" spans="1:33" x14ac:dyDescent="0.35">
      <c r="A127" s="77" t="s">
        <v>151</v>
      </c>
      <c r="B127" s="77" t="s">
        <v>133</v>
      </c>
      <c r="C127" s="126">
        <v>170</v>
      </c>
      <c r="D127" s="140"/>
      <c r="E127" s="73"/>
      <c r="F127" s="73"/>
      <c r="G127" s="73"/>
      <c r="H127" s="73"/>
      <c r="I127" s="73"/>
      <c r="J127" s="73"/>
      <c r="K127" s="73"/>
      <c r="L127" s="73"/>
      <c r="M127" s="73"/>
      <c r="N127" s="73"/>
      <c r="O127" s="73"/>
      <c r="P127" s="73"/>
      <c r="Q127" s="155"/>
      <c r="R127" s="73"/>
      <c r="S127" s="73"/>
      <c r="T127" s="73"/>
      <c r="U127" s="73"/>
      <c r="V127" s="73"/>
      <c r="W127" s="73"/>
      <c r="X127" s="73"/>
      <c r="Y127" s="73"/>
      <c r="Z127" s="73"/>
      <c r="AA127" s="73"/>
      <c r="AB127" s="73"/>
      <c r="AC127" s="73"/>
      <c r="AD127" s="73"/>
      <c r="AE127" s="73"/>
      <c r="AF127" s="73"/>
      <c r="AG127" s="73"/>
    </row>
    <row r="128" spans="1:33" x14ac:dyDescent="0.35">
      <c r="A128" s="77"/>
      <c r="B128" s="77"/>
      <c r="C128" s="126"/>
      <c r="D128" s="72"/>
      <c r="E128" s="73"/>
      <c r="F128" s="73"/>
      <c r="G128" s="73"/>
      <c r="H128" s="73"/>
      <c r="I128" s="73"/>
      <c r="J128" s="73"/>
      <c r="K128" s="73"/>
      <c r="L128" s="73"/>
      <c r="M128" s="73"/>
      <c r="N128" s="73"/>
      <c r="O128" s="73"/>
      <c r="P128" s="73"/>
      <c r="Q128" s="155"/>
      <c r="R128" s="73"/>
      <c r="S128" s="73"/>
      <c r="T128" s="73"/>
      <c r="U128" s="73"/>
      <c r="V128" s="73"/>
      <c r="W128" s="73"/>
      <c r="X128" s="73"/>
      <c r="Y128" s="73"/>
      <c r="Z128" s="73"/>
      <c r="AA128" s="73"/>
      <c r="AB128" s="73"/>
      <c r="AC128" s="73"/>
      <c r="AD128" s="73"/>
      <c r="AE128" s="73"/>
      <c r="AF128" s="73"/>
      <c r="AG128" s="73"/>
    </row>
    <row r="129" spans="1:33" x14ac:dyDescent="0.35">
      <c r="A129" s="77" t="s">
        <v>113</v>
      </c>
      <c r="B129" s="77" t="s">
        <v>86</v>
      </c>
      <c r="C129" s="126">
        <f>AVERAGE(C126:C127)</f>
        <v>200</v>
      </c>
      <c r="D129" s="72"/>
      <c r="E129" s="73"/>
      <c r="F129" s="73"/>
      <c r="G129" s="73"/>
      <c r="H129" s="73"/>
      <c r="I129" s="73"/>
      <c r="J129" s="73"/>
      <c r="K129" s="73"/>
      <c r="L129" s="73"/>
      <c r="M129" s="73"/>
      <c r="N129" s="73"/>
      <c r="O129" s="73"/>
      <c r="P129" s="73"/>
      <c r="Q129" s="155"/>
      <c r="R129" s="73"/>
      <c r="S129" s="73"/>
      <c r="T129" s="73"/>
      <c r="U129" s="73"/>
      <c r="V129" s="73"/>
      <c r="W129" s="73"/>
      <c r="X129" s="73"/>
      <c r="Y129" s="73"/>
      <c r="Z129" s="73"/>
      <c r="AA129" s="73"/>
      <c r="AB129" s="73"/>
      <c r="AC129" s="73"/>
      <c r="AD129" s="73"/>
      <c r="AE129" s="73"/>
      <c r="AF129" s="73"/>
      <c r="AG129" s="73"/>
    </row>
    <row r="130" spans="1:33" x14ac:dyDescent="0.35">
      <c r="A130" s="77"/>
      <c r="B130" s="77"/>
      <c r="C130" s="126"/>
      <c r="D130" s="72"/>
      <c r="E130" s="73"/>
      <c r="F130" s="73"/>
      <c r="G130" s="73"/>
      <c r="H130" s="73"/>
      <c r="I130" s="73"/>
      <c r="J130" s="73"/>
      <c r="K130" s="73"/>
      <c r="L130" s="73"/>
      <c r="M130" s="73"/>
      <c r="N130" s="73"/>
      <c r="O130" s="73"/>
      <c r="P130" s="73"/>
      <c r="Q130" s="155"/>
      <c r="R130" s="73"/>
      <c r="S130" s="73"/>
      <c r="T130" s="73"/>
      <c r="U130" s="73"/>
      <c r="V130" s="73"/>
      <c r="W130" s="73"/>
      <c r="X130" s="73"/>
      <c r="Y130" s="73"/>
      <c r="Z130" s="73"/>
      <c r="AA130" s="73"/>
      <c r="AB130" s="73"/>
      <c r="AC130" s="73"/>
      <c r="AD130" s="73"/>
      <c r="AE130" s="73"/>
      <c r="AF130" s="73"/>
      <c r="AG130" s="73"/>
    </row>
    <row r="131" spans="1:33" x14ac:dyDescent="0.35">
      <c r="A131" s="77" t="s">
        <v>123</v>
      </c>
      <c r="B131" s="77" t="s">
        <v>122</v>
      </c>
      <c r="C131" s="126">
        <v>2.7</v>
      </c>
      <c r="D131" s="72"/>
      <c r="E131" s="73"/>
      <c r="F131" s="73"/>
      <c r="G131" s="73"/>
      <c r="H131" s="73"/>
      <c r="I131" s="73"/>
      <c r="J131" s="73"/>
      <c r="K131" s="73"/>
      <c r="L131" s="73"/>
      <c r="M131" s="73"/>
      <c r="N131" s="73"/>
      <c r="O131" s="73"/>
      <c r="P131" s="73"/>
      <c r="Q131" s="155"/>
      <c r="R131" s="73"/>
      <c r="S131" s="73"/>
      <c r="T131" s="73"/>
      <c r="U131" s="73"/>
      <c r="V131" s="73"/>
      <c r="W131" s="73"/>
      <c r="X131" s="73"/>
      <c r="Y131" s="73"/>
      <c r="Z131" s="73"/>
      <c r="AA131" s="73"/>
      <c r="AB131" s="73"/>
      <c r="AC131" s="73"/>
      <c r="AD131" s="73"/>
      <c r="AE131" s="73"/>
      <c r="AF131" s="73"/>
      <c r="AG131" s="73"/>
    </row>
    <row r="132" spans="1:33" x14ac:dyDescent="0.35">
      <c r="A132" s="77"/>
      <c r="B132" s="77"/>
      <c r="C132" s="126"/>
      <c r="D132" s="72"/>
      <c r="E132" s="73"/>
      <c r="F132" s="73"/>
      <c r="G132" s="73"/>
      <c r="H132" s="73"/>
      <c r="I132" s="73"/>
      <c r="J132" s="73"/>
      <c r="K132" s="73"/>
      <c r="L132" s="73"/>
      <c r="M132" s="73"/>
      <c r="N132" s="73"/>
      <c r="O132" s="73"/>
      <c r="P132" s="73"/>
      <c r="Q132" s="155"/>
      <c r="R132" s="73"/>
      <c r="S132" s="73"/>
      <c r="T132" s="73"/>
      <c r="U132" s="73"/>
      <c r="V132" s="73"/>
      <c r="W132" s="73"/>
      <c r="X132" s="73"/>
      <c r="Y132" s="73"/>
      <c r="Z132" s="73"/>
      <c r="AA132" s="73"/>
      <c r="AB132" s="73"/>
      <c r="AC132" s="73"/>
      <c r="AD132" s="73"/>
      <c r="AE132" s="73"/>
      <c r="AF132" s="73"/>
      <c r="AG132" s="73"/>
    </row>
    <row r="133" spans="1:33" x14ac:dyDescent="0.35">
      <c r="A133" s="77" t="s">
        <v>156</v>
      </c>
      <c r="B133" s="77" t="s">
        <v>157</v>
      </c>
      <c r="C133" s="144">
        <v>0.7</v>
      </c>
      <c r="D133" s="72"/>
      <c r="E133" s="73"/>
      <c r="F133" s="73"/>
      <c r="G133" s="73"/>
      <c r="H133" s="73"/>
      <c r="I133" s="73"/>
      <c r="J133" s="73"/>
      <c r="K133" s="73"/>
      <c r="L133" s="73"/>
      <c r="M133" s="73"/>
      <c r="N133" s="73"/>
      <c r="O133" s="73"/>
      <c r="P133" s="73"/>
      <c r="Q133" s="155"/>
      <c r="R133" s="73"/>
      <c r="S133" s="73"/>
      <c r="T133" s="73"/>
      <c r="U133" s="73"/>
      <c r="V133" s="73"/>
      <c r="W133" s="73"/>
      <c r="X133" s="73"/>
      <c r="Y133" s="73"/>
      <c r="Z133" s="73"/>
      <c r="AA133" s="73"/>
      <c r="AB133" s="73"/>
      <c r="AC133" s="73"/>
      <c r="AD133" s="73"/>
      <c r="AE133" s="73"/>
      <c r="AF133" s="73"/>
      <c r="AG133" s="73"/>
    </row>
    <row r="134" spans="1:33" x14ac:dyDescent="0.35">
      <c r="A134" s="77"/>
      <c r="B134" s="77"/>
      <c r="C134" s="126"/>
      <c r="D134" s="72"/>
      <c r="E134" s="73"/>
      <c r="F134" s="73"/>
      <c r="G134" s="73"/>
      <c r="H134" s="73"/>
      <c r="I134" s="73"/>
      <c r="J134" s="73"/>
      <c r="K134" s="73"/>
      <c r="L134" s="73"/>
      <c r="M134" s="73"/>
      <c r="N134" s="73"/>
      <c r="O134" s="73"/>
      <c r="P134" s="73"/>
      <c r="Q134" s="155"/>
      <c r="R134" s="73"/>
      <c r="S134" s="73"/>
      <c r="T134" s="73"/>
      <c r="U134" s="73"/>
      <c r="V134" s="73"/>
      <c r="W134" s="73"/>
      <c r="X134" s="73"/>
      <c r="Y134" s="73"/>
      <c r="Z134" s="73"/>
      <c r="AA134" s="73"/>
      <c r="AB134" s="73"/>
      <c r="AC134" s="73"/>
      <c r="AD134" s="73"/>
      <c r="AE134" s="73"/>
      <c r="AF134" s="73"/>
      <c r="AG134" s="73"/>
    </row>
    <row r="135" spans="1:33" ht="16" thickBot="1" x14ac:dyDescent="0.4">
      <c r="A135" s="79" t="s">
        <v>99</v>
      </c>
      <c r="B135" s="79" t="s">
        <v>86</v>
      </c>
      <c r="C135" s="156">
        <f>C129/C131</f>
        <v>74.074074074074076</v>
      </c>
      <c r="D135" s="157">
        <f t="shared" ref="D135:AG135" si="14">$C$135*D13</f>
        <v>74.074074074074076</v>
      </c>
      <c r="E135" s="157">
        <f t="shared" si="14"/>
        <v>74.074074074074076</v>
      </c>
      <c r="F135" s="157">
        <f t="shared" si="14"/>
        <v>74.074074074074076</v>
      </c>
      <c r="G135" s="157">
        <f t="shared" si="14"/>
        <v>74.074074074074076</v>
      </c>
      <c r="H135" s="157">
        <f t="shared" si="14"/>
        <v>74.074074074074076</v>
      </c>
      <c r="I135" s="157">
        <f t="shared" si="14"/>
        <v>74.074074074074076</v>
      </c>
      <c r="J135" s="157">
        <f t="shared" si="14"/>
        <v>74.074074074074076</v>
      </c>
      <c r="K135" s="157">
        <f t="shared" si="14"/>
        <v>74.074074074074076</v>
      </c>
      <c r="L135" s="157">
        <f t="shared" si="14"/>
        <v>74.074074074074076</v>
      </c>
      <c r="M135" s="157">
        <f t="shared" si="14"/>
        <v>74.074074074074076</v>
      </c>
      <c r="N135" s="157">
        <f t="shared" si="14"/>
        <v>74.074074074074076</v>
      </c>
      <c r="O135" s="157">
        <f t="shared" si="14"/>
        <v>74.074074074074076</v>
      </c>
      <c r="P135" s="157">
        <f t="shared" si="14"/>
        <v>74.074074074074076</v>
      </c>
      <c r="Q135" s="157">
        <f t="shared" si="14"/>
        <v>74.074074074074076</v>
      </c>
      <c r="R135" s="157">
        <f t="shared" si="14"/>
        <v>74.074074074074076</v>
      </c>
      <c r="S135" s="157">
        <f t="shared" si="14"/>
        <v>74.074074074074076</v>
      </c>
      <c r="T135" s="157">
        <f t="shared" si="14"/>
        <v>74.074074074074076</v>
      </c>
      <c r="U135" s="157">
        <f t="shared" si="14"/>
        <v>74.074074074074076</v>
      </c>
      <c r="V135" s="157">
        <f t="shared" si="14"/>
        <v>74.074074074074076</v>
      </c>
      <c r="W135" s="157">
        <f t="shared" si="14"/>
        <v>74.074074074074076</v>
      </c>
      <c r="X135" s="157">
        <f t="shared" si="14"/>
        <v>74.074074074074076</v>
      </c>
      <c r="Y135" s="157">
        <f t="shared" si="14"/>
        <v>74.074074074074076</v>
      </c>
      <c r="Z135" s="157">
        <f t="shared" si="14"/>
        <v>74.074074074074076</v>
      </c>
      <c r="AA135" s="157">
        <f t="shared" si="14"/>
        <v>74.074074074074076</v>
      </c>
      <c r="AB135" s="157">
        <f t="shared" si="14"/>
        <v>74.074074074074076</v>
      </c>
      <c r="AC135" s="157">
        <f t="shared" si="14"/>
        <v>74.074074074074076</v>
      </c>
      <c r="AD135" s="157">
        <f t="shared" si="14"/>
        <v>74.074074074074076</v>
      </c>
      <c r="AE135" s="157">
        <f t="shared" si="14"/>
        <v>74.074074074074076</v>
      </c>
      <c r="AF135" s="157">
        <f t="shared" si="14"/>
        <v>74.074074074074076</v>
      </c>
      <c r="AG135" s="157">
        <f t="shared" si="14"/>
        <v>74.074074074074076</v>
      </c>
    </row>
    <row r="146" spans="4:33" x14ac:dyDescent="0.35">
      <c r="D146" s="158"/>
    </row>
    <row r="153" spans="4:33" x14ac:dyDescent="0.35">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6" spans="4:33" x14ac:dyDescent="0.35">
      <c r="D156" s="160"/>
    </row>
    <row r="159" spans="4:33" x14ac:dyDescent="0.35">
      <c r="D159" s="161"/>
    </row>
    <row r="162" spans="4:33" x14ac:dyDescent="0.35">
      <c r="D162" s="158"/>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row>
    <row r="163" spans="4:33" x14ac:dyDescent="0.35">
      <c r="D163" s="158"/>
    </row>
    <row r="166" spans="4:33" x14ac:dyDescent="0.35">
      <c r="M166" s="163"/>
    </row>
    <row r="174" spans="4:33" x14ac:dyDescent="0.35">
      <c r="D174" s="164"/>
    </row>
    <row r="175" spans="4:33" x14ac:dyDescent="0.35">
      <c r="D175" s="164"/>
    </row>
    <row r="176" spans="4:33" x14ac:dyDescent="0.35">
      <c r="D176" s="158"/>
    </row>
    <row r="177" spans="4:4" x14ac:dyDescent="0.35">
      <c r="D177" s="158"/>
    </row>
    <row r="179" spans="4:4" x14ac:dyDescent="0.35">
      <c r="D179" s="165"/>
    </row>
    <row r="180" spans="4:4" x14ac:dyDescent="0.35">
      <c r="D180" s="164"/>
    </row>
    <row r="181" spans="4:4" x14ac:dyDescent="0.35">
      <c r="D181" s="164"/>
    </row>
    <row r="186" spans="4:4" x14ac:dyDescent="0.35">
      <c r="D186" s="166"/>
    </row>
    <row r="195" spans="4:4" x14ac:dyDescent="0.35">
      <c r="D195" s="158"/>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Normal="100" workbookViewId="0">
      <pane xSplit="1" topLeftCell="B1" activePane="topRight" state="frozen"/>
      <selection sqref="A1:XFD1048576"/>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30</v>
      </c>
    </row>
    <row r="2" spans="1:35" ht="16" thickBot="1" x14ac:dyDescent="0.4"/>
    <row r="3" spans="1:35" s="15" customFormat="1" ht="21.5" thickBot="1" x14ac:dyDescent="0.55000000000000004">
      <c r="A3" s="49" t="s">
        <v>25</v>
      </c>
      <c r="B3" s="50" t="s">
        <v>34</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105</v>
      </c>
      <c r="B4" s="35"/>
      <c r="C4" s="34"/>
      <c r="D4" s="53"/>
      <c r="E4" s="65">
        <v>0.8</v>
      </c>
      <c r="F4" s="65">
        <v>0.8</v>
      </c>
      <c r="G4" s="65">
        <v>0.75</v>
      </c>
      <c r="H4" s="65">
        <v>0.35</v>
      </c>
      <c r="I4" s="65">
        <v>0.17</v>
      </c>
      <c r="J4" s="65">
        <v>0.13</v>
      </c>
      <c r="K4" s="65">
        <v>0.08</v>
      </c>
      <c r="L4" s="65">
        <v>0.08</v>
      </c>
      <c r="M4" s="65">
        <v>0.06</v>
      </c>
      <c r="N4" s="65">
        <v>0.06</v>
      </c>
      <c r="O4" s="65">
        <v>0.05</v>
      </c>
      <c r="P4" s="65">
        <v>0.05</v>
      </c>
      <c r="Q4" s="65">
        <v>0.05</v>
      </c>
      <c r="R4" s="65">
        <v>0.05</v>
      </c>
      <c r="S4" s="65">
        <v>0.05</v>
      </c>
      <c r="T4" s="65">
        <v>0.05</v>
      </c>
      <c r="U4" s="65">
        <v>0.05</v>
      </c>
      <c r="V4" s="65">
        <v>0.05</v>
      </c>
      <c r="W4" s="65">
        <v>0.05</v>
      </c>
      <c r="X4" s="65">
        <v>0.04</v>
      </c>
      <c r="Y4" s="65">
        <v>0.04</v>
      </c>
      <c r="Z4" s="65">
        <v>0.04</v>
      </c>
      <c r="AA4" s="65">
        <v>0.04</v>
      </c>
      <c r="AB4" s="65">
        <v>0.04</v>
      </c>
      <c r="AC4" s="65">
        <v>0.04</v>
      </c>
      <c r="AD4" s="65">
        <v>0.04</v>
      </c>
      <c r="AE4" s="65">
        <v>0.03</v>
      </c>
      <c r="AF4" s="65">
        <v>2.1999999999999999E-2</v>
      </c>
      <c r="AG4" s="65">
        <v>2.1999999999999999E-2</v>
      </c>
      <c r="AH4" s="65">
        <v>2.1999999999999999E-2</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39</v>
      </c>
      <c r="B6" s="68">
        <f ca="1">MAX(E6:AH6)</f>
        <v>2.5021170552260577</v>
      </c>
      <c r="C6" s="25"/>
      <c r="D6" s="25"/>
      <c r="E6" s="27">
        <f>'Debt worksheet'!C5/'Profit and Loss'!C5</f>
        <v>0</v>
      </c>
      <c r="F6" s="28">
        <f ca="1">'Debt worksheet'!D5/'Profit and Loss'!D5</f>
        <v>2.2842788606330466</v>
      </c>
      <c r="G6" s="28">
        <f ca="1">'Debt worksheet'!E5/'Profit and Loss'!E5</f>
        <v>2.4768718066173578</v>
      </c>
      <c r="H6" s="28">
        <f ca="1">'Debt worksheet'!F5/'Profit and Loss'!F5</f>
        <v>2.4682734004689553</v>
      </c>
      <c r="I6" s="28">
        <f ca="1">'Debt worksheet'!G5/'Profit and Loss'!G5</f>
        <v>2.497315078368481</v>
      </c>
      <c r="J6" s="28">
        <f ca="1">'Debt worksheet'!H5/'Profit and Loss'!H5</f>
        <v>2.4839483975252872</v>
      </c>
      <c r="K6" s="28">
        <f ca="1">'Debt worksheet'!I5/'Profit and Loss'!I5</f>
        <v>2.5021170552260577</v>
      </c>
      <c r="L6" s="28">
        <f ca="1">'Debt worksheet'!J5/'Profit and Loss'!J5</f>
        <v>2.4875040914913957</v>
      </c>
      <c r="M6" s="28">
        <f ca="1">'Debt worksheet'!K5/'Profit and Loss'!K5</f>
        <v>2.4880697844512691</v>
      </c>
      <c r="N6" s="28">
        <f ca="1">'Debt worksheet'!L5/'Profit and Loss'!L5</f>
        <v>2.476044847331095</v>
      </c>
      <c r="O6" s="28">
        <f ca="1">'Debt worksheet'!M5/'Profit and Loss'!M5</f>
        <v>2.4748511497763492</v>
      </c>
      <c r="P6" s="28">
        <f ca="1">'Debt worksheet'!N5/'Profit and Loss'!N5</f>
        <v>2.470153914871414</v>
      </c>
      <c r="Q6" s="28">
        <f ca="1">'Debt worksheet'!O5/'Profit and Loss'!O5</f>
        <v>2.4616779666147464</v>
      </c>
      <c r="R6" s="28">
        <f ca="1">'Debt worksheet'!P5/'Profit and Loss'!P5</f>
        <v>2.4491684125180933</v>
      </c>
      <c r="S6" s="28">
        <f ca="1">'Debt worksheet'!Q5/'Profit and Loss'!Q5</f>
        <v>2.4323897541713051</v>
      </c>
      <c r="T6" s="28">
        <f ca="1">'Debt worksheet'!R5/'Profit and Loss'!R5</f>
        <v>2.4111250304435319</v>
      </c>
      <c r="U6" s="28">
        <f ca="1">'Debt worksheet'!S5/'Profit and Loss'!S5</f>
        <v>2.3851749922209979</v>
      </c>
      <c r="V6" s="28">
        <f ca="1">'Debt worksheet'!T5/'Profit and Loss'!T5</f>
        <v>2.3543573076169033</v>
      </c>
      <c r="W6" s="28">
        <f ca="1">'Debt worksheet'!U5/'Profit and Loss'!U5</f>
        <v>2.3185057966232399</v>
      </c>
      <c r="X6" s="28">
        <f ca="1">'Debt worksheet'!V5/'Profit and Loss'!V5</f>
        <v>2.2993684412671764</v>
      </c>
      <c r="Y6" s="28">
        <f ca="1">'Debt worksheet'!W5/'Profit and Loss'!W5</f>
        <v>2.2838061313156111</v>
      </c>
      <c r="Z6" s="28">
        <f ca="1">'Debt worksheet'!X5/'Profit and Loss'!X5</f>
        <v>2.2715851557912643</v>
      </c>
      <c r="AA6" s="28">
        <f ca="1">'Debt worksheet'!Y5/'Profit and Loss'!Y5</f>
        <v>2.2624784027933718</v>
      </c>
      <c r="AB6" s="28">
        <f ca="1">'Debt worksheet'!Z5/'Profit and Loss'!Z5</f>
        <v>2.2562652038486513</v>
      </c>
      <c r="AC6" s="28">
        <f ca="1">'Debt worksheet'!AA5/'Profit and Loss'!AA5</f>
        <v>2.2527311816933415</v>
      </c>
      <c r="AD6" s="28">
        <f ca="1">'Debt worksheet'!AB5/'Profit and Loss'!AB5</f>
        <v>2.2516681014135638</v>
      </c>
      <c r="AE6" s="28">
        <f ca="1">'Debt worksheet'!AC5/'Profit and Loss'!AC5</f>
        <v>2.2747462853084133</v>
      </c>
      <c r="AF6" s="28">
        <f ca="1">'Debt worksheet'!AD5/'Profit and Loss'!AD5</f>
        <v>2.3280226652430906</v>
      </c>
      <c r="AG6" s="28">
        <f ca="1">'Debt worksheet'!AE5/'Profit and Loss'!AE5</f>
        <v>2.4022600146136623</v>
      </c>
      <c r="AH6" s="28">
        <f ca="1">'Debt worksheet'!AF5/'Profit and Loss'!AF5</f>
        <v>2.4979521840058534</v>
      </c>
      <c r="AI6" s="31"/>
    </row>
    <row r="7" spans="1:35" ht="21" x14ac:dyDescent="0.5">
      <c r="A7" s="19" t="s">
        <v>38</v>
      </c>
      <c r="B7" s="26" t="e">
        <f ca="1">MIN('Price and Financial ratios'!E7:AH7)</f>
        <v>#DIV/0!</v>
      </c>
      <c r="C7" s="26"/>
      <c r="D7" s="26"/>
      <c r="E7" s="56" t="e">
        <f ca="1">'Cash Flow'!C7/'Debt worksheet'!C5</f>
        <v>#DIV/0!</v>
      </c>
      <c r="F7" s="32">
        <f ca="1">'Cash Flow'!D7/'Debt worksheet'!D5</f>
        <v>-0.10699020118798255</v>
      </c>
      <c r="G7" s="32">
        <f ca="1">'Cash Flow'!E7/'Debt worksheet'!E5</f>
        <v>9.113150730451762E-2</v>
      </c>
      <c r="H7" s="32">
        <f ca="1">'Cash Flow'!F7/'Debt worksheet'!F5</f>
        <v>0.15601473850015729</v>
      </c>
      <c r="I7" s="32">
        <f ca="1">'Cash Flow'!G7/'Debt worksheet'!G5</f>
        <v>0.17660931458773535</v>
      </c>
      <c r="J7" s="32">
        <f ca="1">'Cash Flow'!H7/'Debt worksheet'!H5</f>
        <v>0.19205918816758044</v>
      </c>
      <c r="K7" s="32">
        <f ca="1">'Cash Flow'!I7/'Debt worksheet'!I5</f>
        <v>0.19566316747046439</v>
      </c>
      <c r="L7" s="32">
        <f ca="1">'Cash Flow'!J7/'Debt worksheet'!J5</f>
        <v>0.20229051074278187</v>
      </c>
      <c r="M7" s="17">
        <f ca="1">'Cash Flow'!K7/'Debt worksheet'!K5</f>
        <v>0.2042000610166517</v>
      </c>
      <c r="N7" s="17">
        <f ca="1">'Cash Flow'!L7/'Debt worksheet'!L5</f>
        <v>0.20742631727291225</v>
      </c>
      <c r="O7" s="17">
        <f ca="1">'Cash Flow'!M7/'Debt worksheet'!M5</f>
        <v>0.2080343935216718</v>
      </c>
      <c r="P7" s="17">
        <f ca="1">'Cash Flow'!N7/'Debt worksheet'!N5</f>
        <v>0.20908562741430009</v>
      </c>
      <c r="Q7" s="17">
        <f ca="1">'Cash Flow'!O7/'Debt worksheet'!O5</f>
        <v>0.2106092363760064</v>
      </c>
      <c r="R7" s="17">
        <f ca="1">'Cash Flow'!P7/'Debt worksheet'!P5</f>
        <v>0.21263786947778021</v>
      </c>
      <c r="S7" s="17">
        <f ca="1">'Cash Flow'!Q7/'Debt worksheet'!Q5</f>
        <v>0.21520872455586892</v>
      </c>
      <c r="T7" s="17">
        <f ca="1">'Cash Flow'!R7/'Debt worksheet'!R5</f>
        <v>0.21836481995937149</v>
      </c>
      <c r="U7" s="17">
        <f ca="1">'Cash Flow'!S7/'Debt worksheet'!S5</f>
        <v>0.22215648449168307</v>
      </c>
      <c r="V7" s="17">
        <f ca="1">'Cash Flow'!T7/'Debt worksheet'!T5</f>
        <v>0.22664314822870765</v>
      </c>
      <c r="W7" s="17">
        <f ca="1">'Cash Flow'!U7/'Debt worksheet'!U5</f>
        <v>0.2318955437119129</v>
      </c>
      <c r="X7" s="17">
        <f ca="1">'Cash Flow'!V7/'Debt worksheet'!V5</f>
        <v>0.2336650452655708</v>
      </c>
      <c r="Y7" s="17">
        <f ca="1">'Cash Flow'!W7/'Debt worksheet'!W5</f>
        <v>0.23510624707675337</v>
      </c>
      <c r="Z7" s="17">
        <f ca="1">'Cash Flow'!X7/'Debt worksheet'!X5</f>
        <v>0.23623144116006309</v>
      </c>
      <c r="AA7" s="17">
        <f ca="1">'Cash Flow'!Y7/'Debt worksheet'!Y5</f>
        <v>0.23705581288413549</v>
      </c>
      <c r="AB7" s="17">
        <f ca="1">'Cash Flow'!Z7/'Debt worksheet'!Z5</f>
        <v>0.23759699404256879</v>
      </c>
      <c r="AC7" s="17">
        <f ca="1">'Cash Flow'!AA7/'Debt worksheet'!AA5</f>
        <v>0.2378745975860356</v>
      </c>
      <c r="AD7" s="17">
        <f ca="1">'Cash Flow'!AB7/'Debt worksheet'!AB5</f>
        <v>0.23790975197993586</v>
      </c>
      <c r="AE7" s="17">
        <f ca="1">'Cash Flow'!AC7/'Debt worksheet'!AC5</f>
        <v>0.23330179794326986</v>
      </c>
      <c r="AF7" s="17">
        <f ca="1">'Cash Flow'!AD7/'Debt worksheet'!AD5</f>
        <v>0.2239475452975363</v>
      </c>
      <c r="AG7" s="17">
        <f ca="1">'Cash Flow'!AE7/'Debt worksheet'!AE5</f>
        <v>0.21281629894641316</v>
      </c>
      <c r="AH7" s="17">
        <f ca="1">'Cash Flow'!AF7/'Debt worksheet'!AF5</f>
        <v>0.20029997665102786</v>
      </c>
      <c r="AI7" s="29"/>
    </row>
    <row r="8" spans="1:35" ht="21" x14ac:dyDescent="0.5">
      <c r="A8" s="19" t="s">
        <v>33</v>
      </c>
      <c r="B8" s="26">
        <f ca="1">MAX('Price and Financial ratios'!E8:AH8)</f>
        <v>0.38094321232572803</v>
      </c>
      <c r="C8" s="26"/>
      <c r="D8" s="176"/>
      <c r="E8" s="17">
        <f>'Balance Sheet'!B11/'Balance Sheet'!B8</f>
        <v>0</v>
      </c>
      <c r="F8" s="17">
        <f ca="1">'Balance Sheet'!C11/'Balance Sheet'!C8</f>
        <v>0.13513877599477545</v>
      </c>
      <c r="G8" s="17">
        <f ca="1">'Balance Sheet'!D11/'Balance Sheet'!D8</f>
        <v>0.24094185708965335</v>
      </c>
      <c r="H8" s="17">
        <f ca="1">'Balance Sheet'!E11/'Balance Sheet'!E8</f>
        <v>0.30513548472209351</v>
      </c>
      <c r="I8" s="17">
        <f ca="1">'Balance Sheet'!F11/'Balance Sheet'!F8</f>
        <v>0.3406138206234563</v>
      </c>
      <c r="J8" s="17">
        <f ca="1">'Balance Sheet'!G11/'Balance Sheet'!G8</f>
        <v>0.36157479472910864</v>
      </c>
      <c r="K8" s="17">
        <f ca="1">'Balance Sheet'!H11/'Balance Sheet'!H8</f>
        <v>0.37205303655900213</v>
      </c>
      <c r="L8" s="17">
        <f ca="1">'Balance Sheet'!I11/'Balance Sheet'!I8</f>
        <v>0.37834112665909414</v>
      </c>
      <c r="M8" s="17">
        <f ca="1">'Balance Sheet'!J11/'Balance Sheet'!J8</f>
        <v>0.38038572178036201</v>
      </c>
      <c r="N8" s="17">
        <f ca="1">'Balance Sheet'!K11/'Balance Sheet'!K8</f>
        <v>0.38094321232572803</v>
      </c>
      <c r="O8" s="17">
        <f ca="1">'Balance Sheet'!L11/'Balance Sheet'!L8</f>
        <v>0.37995952368401714</v>
      </c>
      <c r="P8" s="17">
        <f ca="1">'Balance Sheet'!M11/'Balance Sheet'!M8</f>
        <v>0.37881747799781718</v>
      </c>
      <c r="Q8" s="17">
        <f ca="1">'Balance Sheet'!N11/'Balance Sheet'!N8</f>
        <v>0.37744823841180153</v>
      </c>
      <c r="R8" s="17">
        <f ca="1">'Balance Sheet'!O11/'Balance Sheet'!O8</f>
        <v>0.37578655590476395</v>
      </c>
      <c r="S8" s="17">
        <f ca="1">'Balance Sheet'!P11/'Balance Sheet'!P8</f>
        <v>0.37377011375271046</v>
      </c>
      <c r="T8" s="17">
        <f ca="1">'Balance Sheet'!Q11/'Balance Sheet'!Q8</f>
        <v>0.37133897995598586</v>
      </c>
      <c r="U8" s="17">
        <f ca="1">'Balance Sheet'!R11/'Balance Sheet'!R8</f>
        <v>0.36843514694766788</v>
      </c>
      <c r="V8" s="17">
        <f ca="1">'Balance Sheet'!S11/'Balance Sheet'!S8</f>
        <v>0.36500214229830302</v>
      </c>
      <c r="W8" s="17">
        <f ca="1">'Balance Sheet'!T11/'Balance Sheet'!T8</f>
        <v>0.36098469750472978</v>
      </c>
      <c r="X8" s="17">
        <f ca="1">'Balance Sheet'!U11/'Balance Sheet'!U8</f>
        <v>0.3563284645570623</v>
      </c>
      <c r="Y8" s="17">
        <f ca="1">'Balance Sheet'!V11/'Balance Sheet'!V8</f>
        <v>0.35245838534918089</v>
      </c>
      <c r="Z8" s="17">
        <f ca="1">'Balance Sheet'!W11/'Balance Sheet'!W8</f>
        <v>0.34931421632581389</v>
      </c>
      <c r="AA8" s="17">
        <f ca="1">'Balance Sheet'!X11/'Balance Sheet'!X8</f>
        <v>0.3468405586590943</v>
      </c>
      <c r="AB8" s="17">
        <f ca="1">'Balance Sheet'!Y11/'Balance Sheet'!Y8</f>
        <v>0.34498628218007776</v>
      </c>
      <c r="AC8" s="17">
        <f ca="1">'Balance Sheet'!Z11/'Balance Sheet'!Z8</f>
        <v>0.34370402676219136</v>
      </c>
      <c r="AD8" s="17">
        <f ca="1">'Balance Sheet'!AA11/'Balance Sheet'!AA8</f>
        <v>0.34294976927311238</v>
      </c>
      <c r="AE8" s="17">
        <f ca="1">'Balance Sheet'!AB11/'Balance Sheet'!AB8</f>
        <v>0.34268244625092292</v>
      </c>
      <c r="AF8" s="17">
        <f ca="1">'Balance Sheet'!AC11/'Balance Sheet'!AC8</f>
        <v>0.34431961658102883</v>
      </c>
      <c r="AG8" s="17">
        <f ca="1">'Balance Sheet'!AD11/'Balance Sheet'!AD8</f>
        <v>0.34895650844134746</v>
      </c>
      <c r="AH8" s="17">
        <f ca="1">'Balance Sheet'!AE11/'Balance Sheet'!AE8</f>
        <v>0.35650492020585001</v>
      </c>
      <c r="AI8" s="29"/>
    </row>
    <row r="9" spans="1:35" ht="21.5" thickBot="1" x14ac:dyDescent="0.55000000000000004">
      <c r="A9" s="20" t="s">
        <v>32</v>
      </c>
      <c r="B9" s="21">
        <f ca="1">MIN('Price and Financial ratios'!E9:AH9)</f>
        <v>-6.015007228643678</v>
      </c>
      <c r="C9" s="21"/>
      <c r="D9" s="177"/>
      <c r="E9" s="21">
        <f ca="1">('Cash Flow'!C7+'Profit and Loss'!C8)/('Profit and Loss'!C8)</f>
        <v>-6.015007228643678</v>
      </c>
      <c r="F9" s="21">
        <f ca="1">('Cash Flow'!D7+'Profit and Loss'!D8)/('Profit and Loss'!D8)</f>
        <v>-0.61095534486088643</v>
      </c>
      <c r="G9" s="21">
        <f ca="1">('Cash Flow'!E7+'Profit and Loss'!E8)/('Profit and Loss'!E8)</f>
        <v>2.9354279449607743</v>
      </c>
      <c r="H9" s="21">
        <f ca="1">('Cash Flow'!F7+'Profit and Loss'!F8)/('Profit and Loss'!F8)</f>
        <v>4.7655779746921247</v>
      </c>
      <c r="I9" s="21">
        <f ca="1">('Cash Flow'!G7+'Profit and Loss'!G8)/('Profit and Loss'!G8)</f>
        <v>5.4894990830785746</v>
      </c>
      <c r="J9" s="21">
        <f ca="1">('Cash Flow'!H7+'Profit and Loss'!H8)/('Profit and Loss'!H8)</f>
        <v>6.0440366689996496</v>
      </c>
      <c r="K9" s="21">
        <f ca="1">('Cash Flow'!I7+'Profit and Loss'!I8)/('Profit and Loss'!I8)</f>
        <v>6.2066825465990352</v>
      </c>
      <c r="L9" s="21">
        <f ca="1">('Cash Flow'!J7+'Profit and Loss'!J8)/('Profit and Loss'!J8)</f>
        <v>6.4513347043693914</v>
      </c>
      <c r="M9" s="21">
        <f ca="1">('Cash Flow'!K7+'Profit and Loss'!K8)/('Profit and Loss'!K8)</f>
        <v>6.5307752210526324</v>
      </c>
      <c r="N9" s="21">
        <f ca="1">('Cash Flow'!L7+'Profit and Loss'!L8)/('Profit and Loss'!L8)</f>
        <v>6.6469759299703579</v>
      </c>
      <c r="O9" s="21">
        <f ca="1">('Cash Flow'!M7+'Profit and Loss'!M8)/('Profit and Loss'!M8)</f>
        <v>6.6715643782520768</v>
      </c>
      <c r="P9" s="21">
        <f ca="1">('Cash Flow'!N7+'Profit and Loss'!N8)/('Profit and Loss'!N8)</f>
        <v>6.708994352137319</v>
      </c>
      <c r="Q9" s="21">
        <f ca="1">('Cash Flow'!O7+'Profit and Loss'!O8)/('Profit and Loss'!O8)</f>
        <v>6.7601349583782682</v>
      </c>
      <c r="R9" s="21">
        <f ca="1">('Cash Flow'!P7+'Profit and Loss'!P8)/('Profit and Loss'!P8)</f>
        <v>6.825976828793995</v>
      </c>
      <c r="S9" s="21">
        <f ca="1">('Cash Flow'!Q7+'Profit and Loss'!Q8)/('Profit and Loss'!Q8)</f>
        <v>6.907666411779287</v>
      </c>
      <c r="T9" s="21">
        <f ca="1">('Cash Flow'!R7+'Profit and Loss'!R8)/('Profit and Loss'!R8)</f>
        <v>7.0065460749871784</v>
      </c>
      <c r="U9" s="21">
        <f ca="1">('Cash Flow'!S7+'Profit and Loss'!S8)/('Profit and Loss'!S8)</f>
        <v>7.1242022429131389</v>
      </c>
      <c r="V9" s="21">
        <f ca="1">('Cash Flow'!T7+'Profit and Loss'!T8)/('Profit and Loss'!T8)</f>
        <v>7.2625245113453074</v>
      </c>
      <c r="W9" s="21">
        <f ca="1">('Cash Flow'!U7+'Profit and Loss'!U8)/('Profit and Loss'!U8)</f>
        <v>7.4237797049088545</v>
      </c>
      <c r="X9" s="21">
        <f ca="1">('Cash Flow'!V7+'Profit and Loss'!V8)/('Profit and Loss'!V8)</f>
        <v>7.4631122371988088</v>
      </c>
      <c r="Y9" s="21">
        <f ca="1">('Cash Flow'!W7+'Profit and Loss'!W8)/('Profit and Loss'!W8)</f>
        <v>7.4937116178759924</v>
      </c>
      <c r="Z9" s="21">
        <f ca="1">('Cash Flow'!X7+'Profit and Loss'!X8)/('Profit and Loss'!X8)</f>
        <v>7.5159972988349777</v>
      </c>
      <c r="AA9" s="21">
        <f ca="1">('Cash Flow'!Y7+'Profit and Loss'!Y8)/('Profit and Loss'!Y8)</f>
        <v>7.5304562152909913</v>
      </c>
      <c r="AB9" s="21">
        <f ca="1">('Cash Flow'!Z7+'Profit and Loss'!Z8)/('Profit and Loss'!Z8)</f>
        <v>7.5376299344102078</v>
      </c>
      <c r="AC9" s="21">
        <f ca="1">('Cash Flow'!AA7+'Profit and Loss'!AA8)/('Profit and Loss'!AA8)</f>
        <v>7.5381017951356011</v>
      </c>
      <c r="AD9" s="21">
        <f ca="1">('Cash Flow'!AB7+'Profit and Loss'!AB8)/('Profit and Loss'!AB8)</f>
        <v>7.5324844719329302</v>
      </c>
      <c r="AE9" s="21">
        <f ca="1">('Cash Flow'!AC7+'Profit and Loss'!AC8)/('Profit and Loss'!AC8)</f>
        <v>7.3730144887652722</v>
      </c>
      <c r="AF9" s="21">
        <f ca="1">('Cash Flow'!AD7+'Profit and Loss'!AD8)/('Profit and Loss'!AD8)</f>
        <v>7.0672872680837235</v>
      </c>
      <c r="AG9" s="21">
        <f ca="1">('Cash Flow'!AE7+'Profit and Loss'!AE8)/('Profit and Loss'!AE8)</f>
        <v>6.7216572432040262</v>
      </c>
      <c r="AH9" s="21">
        <f ca="1">('Cash Flow'!AF7+'Profit and Loss'!AF8)/('Profit and Loss'!AF8)</f>
        <v>6.3477897419300451</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zoomScaleNormal="100"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Normal="100" workbookViewId="0">
      <pane xSplit="1" topLeftCell="B1" activePane="topRight" state="frozen"/>
      <selection sqref="A1:XFD1048576"/>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162</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72</v>
      </c>
      <c r="C5" s="1">
        <f>Assumptions!D111</f>
        <v>252587.39819463476</v>
      </c>
      <c r="D5" s="1">
        <f>Assumptions!E111</f>
        <v>252587.39819463476</v>
      </c>
      <c r="E5" s="1">
        <f>Assumptions!F111</f>
        <v>252587.39819463476</v>
      </c>
      <c r="F5" s="1">
        <f>Assumptions!G111</f>
        <v>252587.39819463476</v>
      </c>
      <c r="G5" s="1">
        <f>Assumptions!H111</f>
        <v>252587.39819463476</v>
      </c>
      <c r="H5" s="1">
        <f>Assumptions!I111</f>
        <v>252587.39819463476</v>
      </c>
      <c r="I5" s="1">
        <f>Assumptions!J111</f>
        <v>252587.39819463476</v>
      </c>
      <c r="J5" s="1">
        <f>Assumptions!K111</f>
        <v>252587.39819463476</v>
      </c>
      <c r="K5" s="1">
        <f>Assumptions!L111</f>
        <v>252587.39819463476</v>
      </c>
      <c r="L5" s="1">
        <f>Assumptions!M111</f>
        <v>252587.39819463476</v>
      </c>
      <c r="M5" s="1">
        <f>Assumptions!N111</f>
        <v>252587.39819463476</v>
      </c>
      <c r="N5" s="1">
        <f>Assumptions!O111</f>
        <v>252587.39819463476</v>
      </c>
      <c r="O5" s="1">
        <f>Assumptions!P111</f>
        <v>252587.39819463476</v>
      </c>
      <c r="P5" s="1">
        <f>Assumptions!Q111</f>
        <v>252587.39819463476</v>
      </c>
      <c r="Q5" s="1">
        <f>Assumptions!R111</f>
        <v>252587.39819463476</v>
      </c>
      <c r="R5" s="1">
        <f>Assumptions!S111</f>
        <v>252587.39819463476</v>
      </c>
      <c r="S5" s="1">
        <f>Assumptions!T111</f>
        <v>252587.39819463476</v>
      </c>
      <c r="T5" s="1">
        <f>Assumptions!U111</f>
        <v>252587.39819463476</v>
      </c>
      <c r="U5" s="1">
        <f>Assumptions!V111</f>
        <v>252587.39819463476</v>
      </c>
      <c r="V5" s="1">
        <f>Assumptions!W111</f>
        <v>252587.39819463476</v>
      </c>
      <c r="W5" s="1">
        <f>Assumptions!X111</f>
        <v>252587.39819463476</v>
      </c>
      <c r="X5" s="1">
        <f>Assumptions!Y111</f>
        <v>252587.39819463476</v>
      </c>
      <c r="Y5" s="1">
        <f>Assumptions!Z111</f>
        <v>252587.39819463476</v>
      </c>
      <c r="Z5" s="1">
        <f>Assumptions!AA111</f>
        <v>252587.39819463476</v>
      </c>
      <c r="AA5" s="1">
        <f>Assumptions!AB111</f>
        <v>252587.39819463476</v>
      </c>
      <c r="AB5" s="1">
        <f>Assumptions!AC111</f>
        <v>252587.39819463476</v>
      </c>
      <c r="AC5" s="1">
        <f>Assumptions!AD111</f>
        <v>252587.39819463476</v>
      </c>
      <c r="AD5" s="1">
        <f>Assumptions!AE111</f>
        <v>252587.39819463476</v>
      </c>
      <c r="AE5" s="1">
        <f>Assumptions!AF111</f>
        <v>252587.39819463476</v>
      </c>
      <c r="AF5" s="1">
        <f>Assumptions!AG111</f>
        <v>252587.39819463476</v>
      </c>
    </row>
    <row r="6" spans="1:32" x14ac:dyDescent="0.35">
      <c r="A6" t="s">
        <v>68</v>
      </c>
      <c r="C6" s="1">
        <f>Assumptions!D113</f>
        <v>466666.66666666669</v>
      </c>
      <c r="D6" s="1">
        <f>Assumptions!E113</f>
        <v>466666.66666666669</v>
      </c>
      <c r="E6" s="1">
        <f>Assumptions!F113</f>
        <v>466666.66666666669</v>
      </c>
      <c r="F6" s="1">
        <f>Assumptions!G113</f>
        <v>466666.66666666669</v>
      </c>
      <c r="G6" s="1">
        <f>Assumptions!H113</f>
        <v>466666.66666666669</v>
      </c>
      <c r="H6" s="1">
        <f>Assumptions!I113</f>
        <v>466666.66666666669</v>
      </c>
      <c r="I6" s="1">
        <f>Assumptions!J113</f>
        <v>466666.66666666669</v>
      </c>
      <c r="J6" s="1">
        <f>Assumptions!K113</f>
        <v>466666.66666666669</v>
      </c>
      <c r="K6" s="1">
        <f>Assumptions!L113</f>
        <v>466666.66666666669</v>
      </c>
      <c r="L6" s="1">
        <f>Assumptions!M113</f>
        <v>466666.66666666669</v>
      </c>
      <c r="M6" s="1">
        <f>Assumptions!N113</f>
        <v>466666.66666666669</v>
      </c>
      <c r="N6" s="1">
        <f>Assumptions!O113</f>
        <v>466666.66666666669</v>
      </c>
      <c r="O6" s="1">
        <f>Assumptions!P113</f>
        <v>466666.66666666669</v>
      </c>
      <c r="P6" s="1">
        <f>Assumptions!Q113</f>
        <v>466666.66666666669</v>
      </c>
      <c r="Q6" s="1">
        <f>Assumptions!R113</f>
        <v>466666.66666666669</v>
      </c>
      <c r="R6" s="1">
        <f>Assumptions!S113</f>
        <v>466666.66666666669</v>
      </c>
      <c r="S6" s="1">
        <f>Assumptions!T113</f>
        <v>466666.66666666669</v>
      </c>
      <c r="T6" s="1">
        <f>Assumptions!U113</f>
        <v>466666.66666666669</v>
      </c>
      <c r="U6" s="1">
        <f>Assumptions!V113</f>
        <v>466666.66666666669</v>
      </c>
      <c r="V6" s="1">
        <f>Assumptions!W113</f>
        <v>466666.66666666669</v>
      </c>
      <c r="W6" s="1">
        <f>Assumptions!X113</f>
        <v>466666.66666666669</v>
      </c>
      <c r="X6" s="1">
        <f>Assumptions!Y113</f>
        <v>466666.66666666669</v>
      </c>
      <c r="Y6" s="1">
        <f>Assumptions!Z113</f>
        <v>466666.66666666669</v>
      </c>
      <c r="Z6" s="1">
        <f>Assumptions!AA113</f>
        <v>466666.66666666669</v>
      </c>
      <c r="AA6" s="1">
        <f>Assumptions!AB113</f>
        <v>466666.66666666669</v>
      </c>
      <c r="AB6" s="1">
        <f>Assumptions!AC113</f>
        <v>466666.66666666669</v>
      </c>
      <c r="AC6" s="1">
        <f>Assumptions!AD113</f>
        <v>466666.66666666669</v>
      </c>
      <c r="AD6" s="1">
        <f>Assumptions!AE113</f>
        <v>466666.66666666669</v>
      </c>
      <c r="AE6" s="1">
        <f>Assumptions!AF113</f>
        <v>466666.66666666669</v>
      </c>
      <c r="AF6" s="1">
        <f>Assumptions!AG113</f>
        <v>466666.66666666669</v>
      </c>
    </row>
    <row r="7" spans="1:32" x14ac:dyDescent="0.35">
      <c r="A7" t="s">
        <v>73</v>
      </c>
      <c r="C7" s="1">
        <f>Assumptions!D120</f>
        <v>11200</v>
      </c>
      <c r="D7" s="1">
        <f>Assumptions!E120</f>
        <v>22400</v>
      </c>
      <c r="E7" s="1">
        <f>Assumptions!F120</f>
        <v>33600</v>
      </c>
      <c r="F7" s="1">
        <f>Assumptions!G120</f>
        <v>44800</v>
      </c>
      <c r="G7" s="1">
        <f>Assumptions!H120</f>
        <v>56000</v>
      </c>
      <c r="H7" s="1">
        <f>Assumptions!I120</f>
        <v>67200</v>
      </c>
      <c r="I7" s="1">
        <f>Assumptions!J120</f>
        <v>78400</v>
      </c>
      <c r="J7" s="1">
        <f>Assumptions!K120</f>
        <v>89599.999999999985</v>
      </c>
      <c r="K7" s="1">
        <f>Assumptions!L120</f>
        <v>100800</v>
      </c>
      <c r="L7" s="1">
        <f>Assumptions!M120</f>
        <v>112000</v>
      </c>
      <c r="M7" s="1">
        <f>Assumptions!N120</f>
        <v>123200.00000000003</v>
      </c>
      <c r="N7" s="1">
        <f>Assumptions!O120</f>
        <v>134400.00000000003</v>
      </c>
      <c r="O7" s="1">
        <f>Assumptions!P120</f>
        <v>145600.00000000003</v>
      </c>
      <c r="P7" s="1">
        <f>Assumptions!Q120</f>
        <v>156800.00000000003</v>
      </c>
      <c r="Q7" s="1">
        <f>Assumptions!R120</f>
        <v>168000.00000000003</v>
      </c>
      <c r="R7" s="1">
        <f>Assumptions!S120</f>
        <v>179200.00000000006</v>
      </c>
      <c r="S7" s="1">
        <f>Assumptions!T120</f>
        <v>190400.00000000003</v>
      </c>
      <c r="T7" s="1">
        <f>Assumptions!U120</f>
        <v>201600.00000000003</v>
      </c>
      <c r="U7" s="1">
        <f>Assumptions!V120</f>
        <v>212800.00000000006</v>
      </c>
      <c r="V7" s="1">
        <f>Assumptions!W120</f>
        <v>224000</v>
      </c>
      <c r="W7" s="1">
        <f>Assumptions!X120</f>
        <v>235200</v>
      </c>
      <c r="X7" s="1">
        <f>Assumptions!Y120</f>
        <v>246399.99999999997</v>
      </c>
      <c r="Y7" s="1">
        <f>Assumptions!Z120</f>
        <v>257599.99999999994</v>
      </c>
      <c r="Z7" s="1">
        <f>Assumptions!AA120</f>
        <v>268799.99999999994</v>
      </c>
      <c r="AA7" s="1">
        <f>Assumptions!AB120</f>
        <v>279999.99999999994</v>
      </c>
      <c r="AB7" s="1">
        <f>Assumptions!AC120</f>
        <v>291199.99999999994</v>
      </c>
      <c r="AC7" s="1">
        <f>Assumptions!AD120</f>
        <v>302399.99999999988</v>
      </c>
      <c r="AD7" s="1">
        <f>Assumptions!AE120</f>
        <v>313599.99999999988</v>
      </c>
      <c r="AE7" s="1">
        <f>Assumptions!AF120</f>
        <v>324799.99999999988</v>
      </c>
      <c r="AF7" s="1">
        <f>Assumptions!AG120</f>
        <v>335999.99999999988</v>
      </c>
    </row>
    <row r="9" spans="1:32" x14ac:dyDescent="0.35">
      <c r="A9" t="s">
        <v>92</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70</v>
      </c>
      <c r="C11" s="1">
        <f>C5*C$9</f>
        <v>260670.19493686309</v>
      </c>
      <c r="D11" s="1">
        <f>D5*D$9</f>
        <v>269011.64117484266</v>
      </c>
      <c r="E11" s="1">
        <f t="shared" ref="D11:AF13" si="1">E5*E$9</f>
        <v>277620.01369243761</v>
      </c>
      <c r="F11" s="1">
        <f t="shared" si="1"/>
        <v>286503.85413059563</v>
      </c>
      <c r="G11" s="1">
        <f t="shared" si="1"/>
        <v>295671.97746277472</v>
      </c>
      <c r="H11" s="1">
        <f t="shared" si="1"/>
        <v>305133.48074158351</v>
      </c>
      <c r="I11" s="1">
        <f t="shared" si="1"/>
        <v>314897.75212531415</v>
      </c>
      <c r="J11" s="1">
        <f t="shared" si="1"/>
        <v>324974.48019332421</v>
      </c>
      <c r="K11" s="1">
        <f t="shared" si="1"/>
        <v>335373.66355951061</v>
      </c>
      <c r="L11" s="1">
        <f t="shared" si="1"/>
        <v>346105.62079341494</v>
      </c>
      <c r="M11" s="1">
        <f t="shared" si="1"/>
        <v>357181.0006588042</v>
      </c>
      <c r="N11" s="1">
        <f t="shared" si="1"/>
        <v>368610.79267988593</v>
      </c>
      <c r="O11" s="1">
        <f t="shared" si="1"/>
        <v>380406.3380456423</v>
      </c>
      <c r="P11" s="1">
        <f t="shared" si="1"/>
        <v>392579.34086310281</v>
      </c>
      <c r="Q11" s="1">
        <f t="shared" si="1"/>
        <v>405141.87977072201</v>
      </c>
      <c r="R11" s="1">
        <f t="shared" si="1"/>
        <v>418106.41992338526</v>
      </c>
      <c r="S11" s="1">
        <f t="shared" si="1"/>
        <v>431485.82536093361</v>
      </c>
      <c r="T11" s="1">
        <f t="shared" si="1"/>
        <v>445293.3717724834</v>
      </c>
      <c r="U11" s="1">
        <f t="shared" si="1"/>
        <v>459542.75966920285</v>
      </c>
      <c r="V11" s="1">
        <f t="shared" si="1"/>
        <v>474248.12797861738</v>
      </c>
      <c r="W11" s="1">
        <f t="shared" si="1"/>
        <v>489424.06807393319</v>
      </c>
      <c r="X11" s="1">
        <f t="shared" si="1"/>
        <v>505085.63825229899</v>
      </c>
      <c r="Y11" s="1">
        <f t="shared" si="1"/>
        <v>521248.37867637246</v>
      </c>
      <c r="Z11" s="1">
        <f t="shared" si="1"/>
        <v>537928.32679401641</v>
      </c>
      <c r="AA11" s="1">
        <f t="shared" si="1"/>
        <v>555142.03325142513</v>
      </c>
      <c r="AB11" s="1">
        <f t="shared" si="1"/>
        <v>572906.5783154706</v>
      </c>
      <c r="AC11" s="1">
        <f t="shared" si="1"/>
        <v>591239.58882156562</v>
      </c>
      <c r="AD11" s="1">
        <f t="shared" si="1"/>
        <v>610159.25566385582</v>
      </c>
      <c r="AE11" s="1">
        <f t="shared" si="1"/>
        <v>629684.35184509913</v>
      </c>
      <c r="AF11" s="1">
        <f t="shared" si="1"/>
        <v>649834.25110414217</v>
      </c>
    </row>
    <row r="12" spans="1:32" x14ac:dyDescent="0.35">
      <c r="A12" t="s">
        <v>71</v>
      </c>
      <c r="C12" s="1">
        <f t="shared" ref="C12:R12" si="2">C6*C$9</f>
        <v>481600.00000000006</v>
      </c>
      <c r="D12" s="1">
        <f t="shared" si="2"/>
        <v>497011.20000000001</v>
      </c>
      <c r="E12" s="1">
        <f t="shared" si="2"/>
        <v>512915.55839999998</v>
      </c>
      <c r="F12" s="1">
        <f t="shared" si="2"/>
        <v>529328.85626879998</v>
      </c>
      <c r="G12" s="1">
        <f t="shared" si="2"/>
        <v>546267.37966940168</v>
      </c>
      <c r="H12" s="1">
        <f t="shared" si="2"/>
        <v>563747.93581882236</v>
      </c>
      <c r="I12" s="1">
        <f t="shared" si="2"/>
        <v>581787.86976502463</v>
      </c>
      <c r="J12" s="1">
        <f t="shared" si="2"/>
        <v>600405.08159750549</v>
      </c>
      <c r="K12" s="1">
        <f t="shared" si="2"/>
        <v>619618.0442086258</v>
      </c>
      <c r="L12" s="1">
        <f t="shared" si="2"/>
        <v>639445.82162330172</v>
      </c>
      <c r="M12" s="1">
        <f t="shared" si="2"/>
        <v>659908.08791524731</v>
      </c>
      <c r="N12" s="1">
        <f t="shared" si="2"/>
        <v>681025.1467285353</v>
      </c>
      <c r="O12" s="1">
        <f t="shared" si="2"/>
        <v>702817.95142384851</v>
      </c>
      <c r="P12" s="1">
        <f t="shared" si="2"/>
        <v>725308.12586941151</v>
      </c>
      <c r="Q12" s="1">
        <f t="shared" si="2"/>
        <v>748517.98589723255</v>
      </c>
      <c r="R12" s="1">
        <f t="shared" si="2"/>
        <v>772470.56144594413</v>
      </c>
      <c r="S12" s="1">
        <f t="shared" si="1"/>
        <v>797189.6194122145</v>
      </c>
      <c r="T12" s="1">
        <f t="shared" si="1"/>
        <v>822699.68723340519</v>
      </c>
      <c r="U12" s="1">
        <f t="shared" si="1"/>
        <v>849026.07722487405</v>
      </c>
      <c r="V12" s="1">
        <f t="shared" si="1"/>
        <v>876194.91169607011</v>
      </c>
      <c r="W12" s="1">
        <f t="shared" si="1"/>
        <v>904233.14887034451</v>
      </c>
      <c r="X12" s="1">
        <f t="shared" si="1"/>
        <v>933168.60963419545</v>
      </c>
      <c r="Y12" s="1">
        <f t="shared" si="1"/>
        <v>963030.00514248945</v>
      </c>
      <c r="Z12" s="1">
        <f t="shared" si="1"/>
        <v>993846.96530704922</v>
      </c>
      <c r="AA12" s="1">
        <f t="shared" si="1"/>
        <v>1025650.068196875</v>
      </c>
      <c r="AB12" s="1">
        <f t="shared" si="1"/>
        <v>1058470.8703791748</v>
      </c>
      <c r="AC12" s="1">
        <f t="shared" si="1"/>
        <v>1092341.9382313082</v>
      </c>
      <c r="AD12" s="1">
        <f t="shared" si="1"/>
        <v>1127296.8802547103</v>
      </c>
      <c r="AE12" s="1">
        <f t="shared" si="1"/>
        <v>1163370.3804228611</v>
      </c>
      <c r="AF12" s="1">
        <f t="shared" si="1"/>
        <v>1200598.2325963925</v>
      </c>
    </row>
    <row r="13" spans="1:32" x14ac:dyDescent="0.35">
      <c r="A13" t="s">
        <v>74</v>
      </c>
      <c r="C13" s="1">
        <f>C7*C$9</f>
        <v>11558.4</v>
      </c>
      <c r="D13" s="1">
        <f t="shared" si="1"/>
        <v>23856.5376</v>
      </c>
      <c r="E13" s="1">
        <f t="shared" si="1"/>
        <v>36929.920204799993</v>
      </c>
      <c r="F13" s="1">
        <f t="shared" si="1"/>
        <v>50815.570201804796</v>
      </c>
      <c r="G13" s="1">
        <f t="shared" si="1"/>
        <v>65552.085560328196</v>
      </c>
      <c r="H13" s="1">
        <f t="shared" si="1"/>
        <v>81179.702757910418</v>
      </c>
      <c r="I13" s="1">
        <f t="shared" si="1"/>
        <v>97740.362120524136</v>
      </c>
      <c r="J13" s="1">
        <f t="shared" si="1"/>
        <v>115277.77566672103</v>
      </c>
      <c r="K13" s="1">
        <f t="shared" si="1"/>
        <v>133837.49754906315</v>
      </c>
      <c r="L13" s="1">
        <f t="shared" si="1"/>
        <v>153466.9971895924</v>
      </c>
      <c r="M13" s="1">
        <f t="shared" si="1"/>
        <v>174215.73520962533</v>
      </c>
      <c r="N13" s="1">
        <f t="shared" si="1"/>
        <v>196135.2422578182</v>
      </c>
      <c r="O13" s="1">
        <f t="shared" si="1"/>
        <v>219279.20084424075</v>
      </c>
      <c r="P13" s="1">
        <f t="shared" si="1"/>
        <v>243703.5302921223</v>
      </c>
      <c r="Q13" s="1">
        <f t="shared" si="1"/>
        <v>269466.47492300376</v>
      </c>
      <c r="R13" s="1">
        <f t="shared" si="1"/>
        <v>296628.69559524267</v>
      </c>
      <c r="S13" s="1">
        <f t="shared" si="1"/>
        <v>325253.36472018354</v>
      </c>
      <c r="T13" s="1">
        <f t="shared" si="1"/>
        <v>355406.26488483109</v>
      </c>
      <c r="U13" s="1">
        <f t="shared" si="1"/>
        <v>387155.89121454267</v>
      </c>
      <c r="V13" s="1">
        <f t="shared" si="1"/>
        <v>420573.55761411367</v>
      </c>
      <c r="W13" s="1">
        <f t="shared" si="1"/>
        <v>455733.50703065359</v>
      </c>
      <c r="X13" s="1">
        <f t="shared" si="1"/>
        <v>492713.02588685509</v>
      </c>
      <c r="Y13" s="1">
        <f t="shared" si="1"/>
        <v>531592.56283865403</v>
      </c>
      <c r="Z13" s="1">
        <f t="shared" si="1"/>
        <v>572455.85201686015</v>
      </c>
      <c r="AA13" s="1">
        <f t="shared" si="1"/>
        <v>615390.04091812484</v>
      </c>
      <c r="AB13" s="1">
        <f t="shared" si="1"/>
        <v>660485.82311660494</v>
      </c>
      <c r="AC13" s="1">
        <f t="shared" si="1"/>
        <v>707837.57597388746</v>
      </c>
      <c r="AD13" s="1">
        <f t="shared" si="1"/>
        <v>757543.50353116507</v>
      </c>
      <c r="AE13" s="1">
        <f t="shared" si="1"/>
        <v>809705.784774311</v>
      </c>
      <c r="AF13" s="1">
        <f t="shared" si="1"/>
        <v>864430.72746940225</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81</v>
      </c>
      <c r="C15" s="38">
        <f>Assumptions!D44</f>
        <v>1</v>
      </c>
      <c r="D15" s="38">
        <f>Assumptions!E44</f>
        <v>1</v>
      </c>
      <c r="E15" s="38">
        <f>Assumptions!F44</f>
        <v>1</v>
      </c>
      <c r="F15" s="38">
        <f>Assumptions!G44</f>
        <v>1</v>
      </c>
      <c r="G15" s="38">
        <f>Assumptions!H44</f>
        <v>1</v>
      </c>
      <c r="H15" s="38">
        <f>Assumptions!I44</f>
        <v>1</v>
      </c>
      <c r="I15" s="38">
        <f>Assumptions!J44</f>
        <v>1</v>
      </c>
      <c r="J15" s="38">
        <f>Assumptions!K44</f>
        <v>1</v>
      </c>
      <c r="K15" s="38">
        <f>Assumptions!L44</f>
        <v>1</v>
      </c>
      <c r="L15" s="38">
        <f>Assumptions!M44</f>
        <v>1</v>
      </c>
      <c r="M15" s="38">
        <f>Assumptions!N44</f>
        <v>1</v>
      </c>
      <c r="N15" s="38">
        <f>Assumptions!O44</f>
        <v>1</v>
      </c>
      <c r="O15" s="38">
        <f>Assumptions!P44</f>
        <v>1</v>
      </c>
      <c r="P15" s="38">
        <f>Assumptions!Q44</f>
        <v>1</v>
      </c>
      <c r="Q15" s="38">
        <f>Assumptions!R44</f>
        <v>1</v>
      </c>
      <c r="R15" s="38">
        <f>Assumptions!S44</f>
        <v>1</v>
      </c>
      <c r="S15" s="38">
        <f>Assumptions!T44</f>
        <v>1</v>
      </c>
      <c r="T15" s="38">
        <f>Assumptions!U44</f>
        <v>1</v>
      </c>
      <c r="U15" s="38">
        <f>Assumptions!V44</f>
        <v>1</v>
      </c>
      <c r="V15" s="38">
        <f>Assumptions!W44</f>
        <v>1</v>
      </c>
      <c r="W15" s="38">
        <f>Assumptions!X44</f>
        <v>1</v>
      </c>
      <c r="X15" s="38">
        <f>Assumptions!Y44</f>
        <v>1</v>
      </c>
      <c r="Y15" s="38">
        <f>Assumptions!Z44</f>
        <v>1</v>
      </c>
      <c r="Z15" s="38">
        <f>Assumptions!AA44</f>
        <v>1</v>
      </c>
      <c r="AA15" s="38">
        <f>Assumptions!AB44</f>
        <v>1</v>
      </c>
      <c r="AB15" s="38">
        <f>Assumptions!AC44</f>
        <v>1</v>
      </c>
      <c r="AC15" s="38">
        <f>Assumptions!AD44</f>
        <v>1</v>
      </c>
      <c r="AD15" s="38">
        <f>Assumptions!AE44</f>
        <v>1</v>
      </c>
      <c r="AE15" s="38">
        <f>Assumptions!AF44</f>
        <v>1</v>
      </c>
      <c r="AF15" s="38">
        <f>Assumptions!AG44</f>
        <v>1</v>
      </c>
    </row>
    <row r="16" spans="1:32" x14ac:dyDescent="0.35">
      <c r="A16" t="s">
        <v>61</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78</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75</v>
      </c>
      <c r="C20" s="1">
        <f>(C12*C15)-C12</f>
        <v>0</v>
      </c>
      <c r="D20" s="1">
        <f t="shared" ref="D20:AF20" si="4">(D12*D15)-D12</f>
        <v>0</v>
      </c>
      <c r="E20" s="1">
        <f t="shared" si="4"/>
        <v>0</v>
      </c>
      <c r="F20" s="1">
        <f t="shared" si="4"/>
        <v>0</v>
      </c>
      <c r="G20" s="1">
        <f t="shared" si="4"/>
        <v>0</v>
      </c>
      <c r="H20" s="1">
        <f t="shared" si="4"/>
        <v>0</v>
      </c>
      <c r="I20" s="1">
        <f t="shared" si="4"/>
        <v>0</v>
      </c>
      <c r="J20" s="1">
        <f t="shared" si="4"/>
        <v>0</v>
      </c>
      <c r="K20" s="1">
        <f t="shared" si="4"/>
        <v>0</v>
      </c>
      <c r="L20" s="1">
        <f t="shared" si="4"/>
        <v>0</v>
      </c>
      <c r="M20" s="1">
        <f t="shared" si="4"/>
        <v>0</v>
      </c>
      <c r="N20" s="1">
        <f t="shared" si="4"/>
        <v>0</v>
      </c>
      <c r="O20" s="1">
        <f t="shared" si="4"/>
        <v>0</v>
      </c>
      <c r="P20" s="1">
        <f t="shared" si="4"/>
        <v>0</v>
      </c>
      <c r="Q20" s="1">
        <f t="shared" si="4"/>
        <v>0</v>
      </c>
      <c r="R20" s="1">
        <f t="shared" si="4"/>
        <v>0</v>
      </c>
      <c r="S20" s="1">
        <f t="shared" si="4"/>
        <v>0</v>
      </c>
      <c r="T20" s="1">
        <f t="shared" si="4"/>
        <v>0</v>
      </c>
      <c r="U20" s="1">
        <f t="shared" si="4"/>
        <v>0</v>
      </c>
      <c r="V20" s="1">
        <f t="shared" si="4"/>
        <v>0</v>
      </c>
      <c r="W20" s="1">
        <f t="shared" si="4"/>
        <v>0</v>
      </c>
      <c r="X20" s="1">
        <f t="shared" si="4"/>
        <v>0</v>
      </c>
      <c r="Y20" s="1">
        <f t="shared" si="4"/>
        <v>0</v>
      </c>
      <c r="Z20" s="1">
        <f t="shared" si="4"/>
        <v>0</v>
      </c>
      <c r="AA20" s="1">
        <f t="shared" si="4"/>
        <v>0</v>
      </c>
      <c r="AB20" s="1">
        <f t="shared" si="4"/>
        <v>0</v>
      </c>
      <c r="AC20" s="1">
        <f t="shared" si="4"/>
        <v>0</v>
      </c>
      <c r="AD20" s="1">
        <f t="shared" si="4"/>
        <v>0</v>
      </c>
      <c r="AE20" s="1">
        <f t="shared" si="4"/>
        <v>0</v>
      </c>
      <c r="AF20" s="1">
        <f t="shared" si="4"/>
        <v>0</v>
      </c>
    </row>
    <row r="21" spans="1:32" x14ac:dyDescent="0.35">
      <c r="A21" t="s">
        <v>76</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77</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97</v>
      </c>
      <c r="C25" s="40">
        <f>SUM(C11:C13,C18:C23)</f>
        <v>753828.59493686317</v>
      </c>
      <c r="D25" s="40">
        <f>SUM(D11:D13,D18:D23)</f>
        <v>789879.37877484271</v>
      </c>
      <c r="E25" s="40">
        <f t="shared" ref="E25:AF25" si="7">SUM(E11:E13,E18:E23)</f>
        <v>827465.49229723762</v>
      </c>
      <c r="F25" s="40">
        <f t="shared" si="7"/>
        <v>866648.2806012003</v>
      </c>
      <c r="G25" s="40">
        <f t="shared" si="7"/>
        <v>907491.44269250461</v>
      </c>
      <c r="H25" s="40">
        <f t="shared" si="7"/>
        <v>950061.11931831622</v>
      </c>
      <c r="I25" s="40">
        <f t="shared" si="7"/>
        <v>994425.984010863</v>
      </c>
      <c r="J25" s="40">
        <f t="shared" si="7"/>
        <v>1040657.3374575508</v>
      </c>
      <c r="K25" s="40">
        <f t="shared" si="7"/>
        <v>1088829.2053171995</v>
      </c>
      <c r="L25" s="40">
        <f t="shared" si="7"/>
        <v>1139018.4396063089</v>
      </c>
      <c r="M25" s="40">
        <f t="shared" si="7"/>
        <v>1191304.8237836768</v>
      </c>
      <c r="N25" s="40">
        <f t="shared" si="7"/>
        <v>1245771.1816662394</v>
      </c>
      <c r="O25" s="40">
        <f t="shared" si="7"/>
        <v>1302503.4903137316</v>
      </c>
      <c r="P25" s="40">
        <f t="shared" si="7"/>
        <v>1361590.9970246367</v>
      </c>
      <c r="Q25" s="40">
        <f t="shared" si="7"/>
        <v>1423126.3405909583</v>
      </c>
      <c r="R25" s="40">
        <f t="shared" si="7"/>
        <v>1487205.6769645722</v>
      </c>
      <c r="S25" s="40">
        <f t="shared" si="7"/>
        <v>1553928.8094933317</v>
      </c>
      <c r="T25" s="40">
        <f t="shared" si="7"/>
        <v>1623399.3238907198</v>
      </c>
      <c r="U25" s="40">
        <f t="shared" si="7"/>
        <v>1695724.7281086193</v>
      </c>
      <c r="V25" s="40">
        <f t="shared" si="7"/>
        <v>1771016.5972888011</v>
      </c>
      <c r="W25" s="40">
        <f t="shared" si="7"/>
        <v>1849390.7239749313</v>
      </c>
      <c r="X25" s="40">
        <f t="shared" si="7"/>
        <v>1930967.2737733496</v>
      </c>
      <c r="Y25" s="40">
        <f t="shared" si="7"/>
        <v>2015870.9466575161</v>
      </c>
      <c r="Z25" s="40">
        <f t="shared" si="7"/>
        <v>2104231.1441179258</v>
      </c>
      <c r="AA25" s="40">
        <f t="shared" si="7"/>
        <v>2196182.1423664251</v>
      </c>
      <c r="AB25" s="40">
        <f t="shared" si="7"/>
        <v>2291863.2718112506</v>
      </c>
      <c r="AC25" s="40">
        <f t="shared" si="7"/>
        <v>2391419.1030267612</v>
      </c>
      <c r="AD25" s="40">
        <f t="shared" si="7"/>
        <v>2494999.639449731</v>
      </c>
      <c r="AE25" s="40">
        <f t="shared" si="7"/>
        <v>2602760.5170422713</v>
      </c>
      <c r="AF25" s="40">
        <f t="shared" si="7"/>
        <v>2714863.2111699372</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163</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243000</v>
      </c>
      <c r="D5" s="59">
        <f>C5*('Price and Financial ratios'!F4+1)*(1+Assumptions!$C$13)</f>
        <v>437400</v>
      </c>
      <c r="E5" s="59">
        <f>D5*('Price and Financial ratios'!G4+1)*(1+Assumptions!$C$13)</f>
        <v>765450</v>
      </c>
      <c r="F5" s="59">
        <f>E5*('Price and Financial ratios'!H4+1)*(1+Assumptions!$C$13)</f>
        <v>1033357.5000000001</v>
      </c>
      <c r="G5" s="59">
        <f>F5*('Price and Financial ratios'!I4+1)*(1+Assumptions!$C$13)</f>
        <v>1209028.2750000001</v>
      </c>
      <c r="H5" s="59">
        <f>G5*('Price and Financial ratios'!J4+1)*(1+Assumptions!$C$13)</f>
        <v>1366201.9507500001</v>
      </c>
      <c r="I5" s="59">
        <f>H5*('Price and Financial ratios'!K4+1)*(1+Assumptions!$C$13)</f>
        <v>1475498.1068100003</v>
      </c>
      <c r="J5" s="59">
        <f>I5*('Price and Financial ratios'!L4+1)*(1+Assumptions!$C$13)</f>
        <v>1593537.9553548004</v>
      </c>
      <c r="K5" s="59">
        <f>J5*('Price and Financial ratios'!M4+1)*(1+Assumptions!$C$13)</f>
        <v>1689150.2326760886</v>
      </c>
      <c r="L5" s="59">
        <f>K5*('Price and Financial ratios'!N4+1)*(1+Assumptions!$C$13)</f>
        <v>1790499.246636654</v>
      </c>
      <c r="M5" s="59">
        <f>L5*('Price and Financial ratios'!O4+1)*(1+Assumptions!$C$13)</f>
        <v>1880024.2089684869</v>
      </c>
      <c r="N5" s="59">
        <f>M5*('Price and Financial ratios'!P4+1)*(1+Assumptions!$C$13)</f>
        <v>1974025.4194169112</v>
      </c>
      <c r="O5" s="59">
        <f>N5*('Price and Financial ratios'!Q4+1)*(1+Assumptions!$C$13)</f>
        <v>2072726.6903877568</v>
      </c>
      <c r="P5" s="59">
        <f>O5*('Price and Financial ratios'!R4+1)*(1+Assumptions!$C$13)</f>
        <v>2176363.0249071447</v>
      </c>
      <c r="Q5" s="59">
        <f>P5*('Price and Financial ratios'!S4+1)*(1+Assumptions!$C$13)</f>
        <v>2285181.1761525022</v>
      </c>
      <c r="R5" s="59">
        <f>Q5*('Price and Financial ratios'!T4+1)*(1+Assumptions!$C$13)</f>
        <v>2399440.2349601276</v>
      </c>
      <c r="S5" s="59">
        <f>R5*('Price and Financial ratios'!U4+1)*(1+Assumptions!$C$13)</f>
        <v>2519412.2467081342</v>
      </c>
      <c r="T5" s="59">
        <f>S5*('Price and Financial ratios'!V4+1)*(1+Assumptions!$C$13)</f>
        <v>2645382.8590435409</v>
      </c>
      <c r="U5" s="59">
        <f>T5*('Price and Financial ratios'!W4+1)*(1+Assumptions!$C$13)</f>
        <v>2777652.0019957181</v>
      </c>
      <c r="V5" s="59">
        <f>U5*('Price and Financial ratios'!X4+1)*(1+Assumptions!$C$13)</f>
        <v>2888758.082075547</v>
      </c>
      <c r="W5" s="59">
        <f>V5*('Price and Financial ratios'!Y4+1)*(1+Assumptions!$C$13)</f>
        <v>3004308.4053585688</v>
      </c>
      <c r="X5" s="59">
        <f>W5*('Price and Financial ratios'!Z4+1)*(1+Assumptions!$C$13)</f>
        <v>3124480.7415729119</v>
      </c>
      <c r="Y5" s="59">
        <f>X5*('Price and Financial ratios'!AA4+1)*(1+Assumptions!$C$13)</f>
        <v>3249459.9712358285</v>
      </c>
      <c r="Z5" s="59">
        <f>Y5*('Price and Financial ratios'!AB4+1)*(1+Assumptions!$C$13)</f>
        <v>3379438.3700852618</v>
      </c>
      <c r="AA5" s="59">
        <f>Z5*('Price and Financial ratios'!AC4+1)*(1+Assumptions!$C$13)</f>
        <v>3514615.9048886723</v>
      </c>
      <c r="AB5" s="59">
        <f>AA5*('Price and Financial ratios'!AD4+1)*(1+Assumptions!$C$13)</f>
        <v>3655200.5410842192</v>
      </c>
      <c r="AC5" s="59">
        <f>AB5*('Price and Financial ratios'!AE4+1)*(1+Assumptions!$C$13)</f>
        <v>3764856.5573167461</v>
      </c>
      <c r="AD5" s="59">
        <f>AC5*('Price and Financial ratios'!AF4+1)*(1+Assumptions!$C$13)</f>
        <v>3847683.4015777144</v>
      </c>
      <c r="AE5" s="59">
        <f>AD5*('Price and Financial ratios'!AG4+1)*(1+Assumptions!$C$13)</f>
        <v>3932332.4364124243</v>
      </c>
      <c r="AF5" s="59">
        <f>AE5*('Price and Financial ratios'!AH4+1)*(1+Assumptions!$C$13)</f>
        <v>4018843.7500134977</v>
      </c>
    </row>
    <row r="6" spans="1:32" s="11" customFormat="1" x14ac:dyDescent="0.35">
      <c r="A6" s="11" t="s">
        <v>20</v>
      </c>
      <c r="C6" s="59">
        <f>C27</f>
        <v>453344.95362660004</v>
      </c>
      <c r="D6" s="59">
        <f t="shared" ref="D6:AF6" si="1">D27</f>
        <v>477941.3186063852</v>
      </c>
      <c r="E6" s="59">
        <f>E27</f>
        <v>503400.50468772568</v>
      </c>
      <c r="F6" s="59">
        <f t="shared" si="1"/>
        <v>529748.57135843963</v>
      </c>
      <c r="G6" s="59">
        <f t="shared" si="1"/>
        <v>557012.30711839616</v>
      </c>
      <c r="H6" s="59">
        <f t="shared" si="1"/>
        <v>585219.2489432533</v>
      </c>
      <c r="I6" s="59">
        <f t="shared" si="1"/>
        <v>614397.70225175878</v>
      </c>
      <c r="J6" s="59">
        <f t="shared" si="1"/>
        <v>644576.76138935017</v>
      </c>
      <c r="K6" s="59">
        <f t="shared" si="1"/>
        <v>675786.33064110554</v>
      </c>
      <c r="L6" s="59">
        <f t="shared" si="1"/>
        <v>708057.14578742569</v>
      </c>
      <c r="M6" s="59">
        <f t="shared" si="1"/>
        <v>741420.79621615377</v>
      </c>
      <c r="N6" s="59">
        <f t="shared" si="1"/>
        <v>775909.74760518479</v>
      </c>
      <c r="O6" s="59">
        <f t="shared" si="1"/>
        <v>811557.36518996442</v>
      </c>
      <c r="P6" s="59">
        <f t="shared" si="1"/>
        <v>848397.93763063336</v>
      </c>
      <c r="Q6" s="59">
        <f t="shared" si="1"/>
        <v>886466.70149394008</v>
      </c>
      <c r="R6" s="59">
        <f t="shared" si="1"/>
        <v>925799.86636541889</v>
      </c>
      <c r="S6" s="59">
        <f t="shared" si="1"/>
        <v>966434.64060771978</v>
      </c>
      <c r="T6" s="59">
        <f t="shared" si="1"/>
        <v>1008409.2577813608</v>
      </c>
      <c r="U6" s="59">
        <f t="shared" si="1"/>
        <v>1051763.003744588</v>
      </c>
      <c r="V6" s="59">
        <f t="shared" si="1"/>
        <v>1096536.2444494311</v>
      </c>
      <c r="W6" s="59">
        <f t="shared" si="1"/>
        <v>1142770.4544514751</v>
      </c>
      <c r="X6" s="59">
        <f t="shared" si="1"/>
        <v>1190508.246151295</v>
      </c>
      <c r="Y6" s="59">
        <f t="shared" si="1"/>
        <v>1239793.3997859526</v>
      </c>
      <c r="Z6" s="59">
        <f t="shared" si="1"/>
        <v>1290670.8941893983</v>
      </c>
      <c r="AA6" s="59">
        <f t="shared" si="1"/>
        <v>1343186.9383410988</v>
      </c>
      <c r="AB6" s="59">
        <f t="shared" si="1"/>
        <v>1397389.0037226868</v>
      </c>
      <c r="AC6" s="59">
        <f t="shared" si="1"/>
        <v>1453325.8575029075</v>
      </c>
      <c r="AD6" s="59">
        <f t="shared" si="1"/>
        <v>1511047.5965716559</v>
      </c>
      <c r="AE6" s="59">
        <f t="shared" si="1"/>
        <v>1570605.6824443981</v>
      </c>
      <c r="AF6" s="59">
        <f t="shared" si="1"/>
        <v>1632052.9770587999</v>
      </c>
    </row>
    <row r="7" spans="1:32" x14ac:dyDescent="0.35">
      <c r="A7" t="s">
        <v>21</v>
      </c>
      <c r="C7" s="4">
        <f>Depreciation!C8+Depreciation!C9</f>
        <v>272228.59493686311</v>
      </c>
      <c r="D7" s="4">
        <f>Depreciation!D8+Depreciation!D9</f>
        <v>292868.17877484264</v>
      </c>
      <c r="E7" s="4">
        <f>Depreciation!E8+Depreciation!E9</f>
        <v>314549.93389723758</v>
      </c>
      <c r="F7" s="4">
        <f>Depreciation!F8+Depreciation!F9</f>
        <v>337319.42433240043</v>
      </c>
      <c r="G7" s="4">
        <f>Depreciation!G8+Depreciation!G9</f>
        <v>361224.06302310294</v>
      </c>
      <c r="H7" s="4">
        <f>Depreciation!H8+Depreciation!H9</f>
        <v>386313.18349949393</v>
      </c>
      <c r="I7" s="4">
        <f>Depreciation!I8+Depreciation!I9</f>
        <v>412638.11424583825</v>
      </c>
      <c r="J7" s="4">
        <f>Depreciation!J8+Depreciation!J9</f>
        <v>440252.25586004526</v>
      </c>
      <c r="K7" s="4">
        <f>Depreciation!K8+Depreciation!K9</f>
        <v>469211.16110857378</v>
      </c>
      <c r="L7" s="4">
        <f>Depreciation!L8+Depreciation!L9</f>
        <v>499572.61798300734</v>
      </c>
      <c r="M7" s="4">
        <f>Depreciation!M8+Depreciation!M9</f>
        <v>531396.73586842953</v>
      </c>
      <c r="N7" s="4">
        <f>Depreciation!N8+Depreciation!N9</f>
        <v>564746.0349377041</v>
      </c>
      <c r="O7" s="4">
        <f>Depreciation!O8+Depreciation!O9</f>
        <v>599685.53888988309</v>
      </c>
      <c r="P7" s="4">
        <f>Depreciation!P8+Depreciation!P9</f>
        <v>636282.87115522509</v>
      </c>
      <c r="Q7" s="4">
        <f>Depreciation!Q8+Depreciation!Q9</f>
        <v>674608.35469372571</v>
      </c>
      <c r="R7" s="4">
        <f>Depreciation!R8+Depreciation!R9</f>
        <v>714735.11551862792</v>
      </c>
      <c r="S7" s="4">
        <f>Depreciation!S8+Depreciation!S9</f>
        <v>756739.19008111721</v>
      </c>
      <c r="T7" s="4">
        <f>Depreciation!T8+Depreciation!T9</f>
        <v>800699.63665731449</v>
      </c>
      <c r="U7" s="4">
        <f>Depreciation!U8+Depreciation!U9</f>
        <v>846698.65088374552</v>
      </c>
      <c r="V7" s="4">
        <f>Depreciation!V8+Depreciation!V9</f>
        <v>894821.685592731</v>
      </c>
      <c r="W7" s="4">
        <f>Depreciation!W8+Depreciation!W9</f>
        <v>945157.57510458678</v>
      </c>
      <c r="X7" s="4">
        <f>Depreciation!X8+Depreciation!X9</f>
        <v>997798.66413915413</v>
      </c>
      <c r="Y7" s="4">
        <f>Depreciation!Y8+Depreciation!Y9</f>
        <v>1052840.9415150266</v>
      </c>
      <c r="Z7" s="4">
        <f>Depreciation!Z8+Depreciation!Z9</f>
        <v>1110384.1788108766</v>
      </c>
      <c r="AA7" s="4">
        <f>Depreciation!AA8+Depreciation!AA9</f>
        <v>1170532.0741695501</v>
      </c>
      <c r="AB7" s="4">
        <f>Depreciation!AB8+Depreciation!AB9</f>
        <v>1233392.4014320755</v>
      </c>
      <c r="AC7" s="4">
        <f>Depreciation!AC8+Depreciation!AC9</f>
        <v>1299077.1647954532</v>
      </c>
      <c r="AD7" s="4">
        <f>Depreciation!AD8+Depreciation!AD9</f>
        <v>1367702.7591950209</v>
      </c>
      <c r="AE7" s="4">
        <f>Depreciation!AE8+Depreciation!AE9</f>
        <v>1439390.13661941</v>
      </c>
      <c r="AF7" s="4">
        <f>Depreciation!AF8+Depreciation!AF9</f>
        <v>1514264.9785735444</v>
      </c>
    </row>
    <row r="8" spans="1:32" x14ac:dyDescent="0.35">
      <c r="A8" t="s">
        <v>6</v>
      </c>
      <c r="C8" s="4">
        <f ca="1">'Debt worksheet'!C8</f>
        <v>34970.025077431317</v>
      </c>
      <c r="D8" s="4">
        <f ca="1">'Debt worksheet'!D8</f>
        <v>66357.253353133987</v>
      </c>
      <c r="E8" s="4">
        <f ca="1">'Debt worksheet'!E8</f>
        <v>89271.309064878456</v>
      </c>
      <c r="F8" s="4">
        <f ca="1">'Debt worksheet'!F8</f>
        <v>105676.35894659674</v>
      </c>
      <c r="G8" s="4">
        <f ca="1">'Debt worksheet'!G8</f>
        <v>118775.13011914845</v>
      </c>
      <c r="H8" s="4">
        <f ca="1">'Debt worksheet'!H8</f>
        <v>129215.41423010714</v>
      </c>
      <c r="I8" s="4">
        <f ca="1">'Debt worksheet'!I8</f>
        <v>138737.62643621647</v>
      </c>
      <c r="J8" s="4">
        <f ca="1">'Debt worksheet'!J8</f>
        <v>147095.32793620724</v>
      </c>
      <c r="K8" s="4">
        <f ca="1">'Debt worksheet'!K8</f>
        <v>155167.47518247133</v>
      </c>
      <c r="L8" s="4">
        <f ca="1">'Debt worksheet'!L8</f>
        <v>162847.30263105611</v>
      </c>
      <c r="M8" s="4">
        <f ca="1">'Debt worksheet'!M8</f>
        <v>170665.1316239929</v>
      </c>
      <c r="N8" s="4">
        <f ca="1">'Debt worksheet'!N8</f>
        <v>178583.49685896465</v>
      </c>
      <c r="O8" s="4">
        <f ca="1">'Debt worksheet'!O8</f>
        <v>186559.78511712176</v>
      </c>
      <c r="P8" s="4">
        <f ca="1">'Debt worksheet'!P8</f>
        <v>194545.79477544676</v>
      </c>
      <c r="Q8" s="4">
        <f ca="1">'Debt worksheet'!Q8</f>
        <v>202487.26433479859</v>
      </c>
      <c r="R8" s="4">
        <f ca="1">'Debt worksheet'!R8</f>
        <v>210323.36800802467</v>
      </c>
      <c r="S8" s="4">
        <f ca="1">'Debt worksheet'!S8</f>
        <v>217986.176297178</v>
      </c>
      <c r="T8" s="4">
        <f ca="1">'Debt worksheet'!T8</f>
        <v>225400.0793670227</v>
      </c>
      <c r="U8" s="4">
        <f ca="1">'Debt worksheet'!U8</f>
        <v>232481.17089330032</v>
      </c>
      <c r="V8" s="4">
        <f ca="1">'Debt worksheet'!V8</f>
        <v>240144.02847823245</v>
      </c>
      <c r="W8" s="4">
        <f ca="1">'Debt worksheet'!W8</f>
        <v>248413.34252394483</v>
      </c>
      <c r="X8" s="4">
        <f ca="1">'Debt worksheet'!X8</f>
        <v>257314.15519819219</v>
      </c>
      <c r="Y8" s="4">
        <f ca="1">'Debt worksheet'!Y8</f>
        <v>266871.82210410322</v>
      </c>
      <c r="Z8" s="4">
        <f ca="1">'Debt worksheet'!Z8</f>
        <v>277111.96942163253</v>
      </c>
      <c r="AA8" s="4">
        <f ca="1">'Debt worksheet'!AA8</f>
        <v>288060.44619201275</v>
      </c>
      <c r="AB8" s="4">
        <f ca="1">'Debt worksheet'!AB8</f>
        <v>299743.27139663516</v>
      </c>
      <c r="AC8" s="4">
        <f ca="1">'Debt worksheet'!AC8</f>
        <v>313512.29586433934</v>
      </c>
      <c r="AD8" s="4">
        <f ca="1">'Debt worksheet'!AD8</f>
        <v>330626.97416566615</v>
      </c>
      <c r="AE8" s="4">
        <f ca="1">'Debt worksheet'!AE8</f>
        <v>351360.7832883572</v>
      </c>
      <c r="AF8" s="4">
        <f ca="1">'Debt worksheet'!AF8</f>
        <v>376003.43899056024</v>
      </c>
    </row>
    <row r="9" spans="1:32" x14ac:dyDescent="0.35">
      <c r="A9" t="s">
        <v>22</v>
      </c>
      <c r="C9" s="4">
        <f ca="1">C5-C6-C7-C8</f>
        <v>-517543.57364089449</v>
      </c>
      <c r="D9" s="4">
        <f t="shared" ref="D9:AF9" ca="1" si="2">D5-D6-D7-D8</f>
        <v>-399766.75073436182</v>
      </c>
      <c r="E9" s="4">
        <f t="shared" ca="1" si="2"/>
        <v>-141771.74764984171</v>
      </c>
      <c r="F9" s="4">
        <f t="shared" ca="1" si="2"/>
        <v>60613.145362563315</v>
      </c>
      <c r="G9" s="4">
        <f t="shared" ca="1" si="2"/>
        <v>172016.77473935258</v>
      </c>
      <c r="H9" s="4">
        <f t="shared" ca="1" si="2"/>
        <v>265454.10407714569</v>
      </c>
      <c r="I9" s="4">
        <f t="shared" ca="1" si="2"/>
        <v>309724.66387618677</v>
      </c>
      <c r="J9" s="4">
        <f t="shared" ca="1" si="2"/>
        <v>361613.61016919778</v>
      </c>
      <c r="K9" s="4">
        <f t="shared" ca="1" si="2"/>
        <v>388985.26574393793</v>
      </c>
      <c r="L9" s="4">
        <f t="shared" ca="1" si="2"/>
        <v>420022.180235165</v>
      </c>
      <c r="M9" s="4">
        <f t="shared" ca="1" si="2"/>
        <v>436541.54525991064</v>
      </c>
      <c r="N9" s="4">
        <f t="shared" ca="1" si="2"/>
        <v>454786.14001505764</v>
      </c>
      <c r="O9" s="4">
        <f t="shared" ca="1" si="2"/>
        <v>474924.00119078753</v>
      </c>
      <c r="P9" s="4">
        <f t="shared" ca="1" si="2"/>
        <v>497136.42134583951</v>
      </c>
      <c r="Q9" s="4">
        <f t="shared" ca="1" si="2"/>
        <v>521618.85563003784</v>
      </c>
      <c r="R9" s="4">
        <f t="shared" ca="1" si="2"/>
        <v>548581.88506805629</v>
      </c>
      <c r="S9" s="4">
        <f t="shared" ca="1" si="2"/>
        <v>578252.23972211918</v>
      </c>
      <c r="T9" s="4">
        <f t="shared" ca="1" si="2"/>
        <v>610873.88523784291</v>
      </c>
      <c r="U9" s="4">
        <f t="shared" ca="1" si="2"/>
        <v>646709.17647408426</v>
      </c>
      <c r="V9" s="4">
        <f t="shared" ca="1" si="2"/>
        <v>657256.12355515244</v>
      </c>
      <c r="W9" s="4">
        <f t="shared" ca="1" si="2"/>
        <v>667967.03327856213</v>
      </c>
      <c r="X9" s="4">
        <f t="shared" ca="1" si="2"/>
        <v>678859.67608427047</v>
      </c>
      <c r="Y9" s="4">
        <f t="shared" ca="1" si="2"/>
        <v>689953.80783074605</v>
      </c>
      <c r="Z9" s="4">
        <f t="shared" ca="1" si="2"/>
        <v>701271.32766335434</v>
      </c>
      <c r="AA9" s="4">
        <f t="shared" ca="1" si="2"/>
        <v>712836.44618601061</v>
      </c>
      <c r="AB9" s="4">
        <f t="shared" ca="1" si="2"/>
        <v>724675.86453282181</v>
      </c>
      <c r="AC9" s="4">
        <f t="shared" ca="1" si="2"/>
        <v>698941.23915404605</v>
      </c>
      <c r="AD9" s="4">
        <f t="shared" ca="1" si="2"/>
        <v>638306.07164537138</v>
      </c>
      <c r="AE9" s="4">
        <f t="shared" ca="1" si="2"/>
        <v>570975.83406025928</v>
      </c>
      <c r="AF9" s="4">
        <f t="shared" ca="1" si="2"/>
        <v>496522.35539059306</v>
      </c>
    </row>
    <row r="12" spans="1:32" x14ac:dyDescent="0.35">
      <c r="A12" t="s">
        <v>79</v>
      </c>
      <c r="C12" s="2">
        <f>Assumptions!$C$25*Assumptions!D9*Assumptions!D13</f>
        <v>439036.95362660004</v>
      </c>
      <c r="D12" s="2">
        <f>Assumptions!$C$25*Assumptions!E9*Assumptions!E13</f>
        <v>448695.76660638518</v>
      </c>
      <c r="E12" s="2">
        <f>Assumptions!$C$25*Assumptions!F9*Assumptions!F13</f>
        <v>458567.07347172569</v>
      </c>
      <c r="F12" s="2">
        <f>Assumptions!$C$25*Assumptions!G9*Assumptions!G13</f>
        <v>468655.54908810364</v>
      </c>
      <c r="G12" s="2">
        <f>Assumptions!$C$25*Assumptions!H9*Assumptions!H13</f>
        <v>478965.97116804193</v>
      </c>
      <c r="H12" s="2">
        <f>Assumptions!$C$25*Assumptions!I9*Assumptions!I13</f>
        <v>489503.22253373882</v>
      </c>
      <c r="I12" s="2">
        <f>Assumptions!$C$25*Assumptions!J9*Assumptions!J13</f>
        <v>500272.2934294811</v>
      </c>
      <c r="J12" s="2">
        <f>Assumptions!$C$25*Assumptions!K9*Assumptions!K13</f>
        <v>511278.28388492978</v>
      </c>
      <c r="K12" s="2">
        <f>Assumptions!$C$25*Assumptions!L9*Assumptions!L13</f>
        <v>522526.40613039816</v>
      </c>
      <c r="L12" s="2">
        <f>Assumptions!$C$25*Assumptions!M9*Assumptions!M13</f>
        <v>534021.98706526693</v>
      </c>
      <c r="M12" s="2">
        <f>Assumptions!$C$25*Assumptions!N9*Assumptions!N13</f>
        <v>545770.47078070289</v>
      </c>
      <c r="N12" s="2">
        <f>Assumptions!$C$25*Assumptions!O9*Assumptions!O13</f>
        <v>557777.42113787832</v>
      </c>
      <c r="O12" s="2">
        <f>Assumptions!$C$25*Assumptions!P9*Assumptions!P13</f>
        <v>570048.52440291166</v>
      </c>
      <c r="P12" s="2">
        <f>Assumptions!$C$25*Assumptions!Q9*Assumptions!Q13</f>
        <v>582589.59193977562</v>
      </c>
      <c r="Q12" s="2">
        <f>Assumptions!$C$25*Assumptions!R9*Assumptions!R13</f>
        <v>595406.56296245079</v>
      </c>
      <c r="R12" s="2">
        <f>Assumptions!$C$25*Assumptions!S9*Assumptions!S13</f>
        <v>608505.50734762475</v>
      </c>
      <c r="S12" s="2">
        <f>Assumptions!$C$25*Assumptions!T9*Assumptions!T13</f>
        <v>621892.62850927247</v>
      </c>
      <c r="T12" s="2">
        <f>Assumptions!$C$25*Assumptions!U9*Assumptions!U13</f>
        <v>635574.26633647643</v>
      </c>
      <c r="U12" s="2">
        <f>Assumptions!$C$25*Assumptions!V9*Assumptions!V13</f>
        <v>649556.90019587893</v>
      </c>
      <c r="V12" s="2">
        <f>Assumptions!$C$25*Assumptions!W9*Assumptions!W13</f>
        <v>663847.15200018825</v>
      </c>
      <c r="W12" s="2">
        <f>Assumptions!$C$25*Assumptions!X9*Assumptions!X13</f>
        <v>678451.78934419248</v>
      </c>
      <c r="X12" s="2">
        <f>Assumptions!$C$25*Assumptions!Y9*Assumptions!Y13</f>
        <v>693377.72870976466</v>
      </c>
      <c r="Y12" s="2">
        <f>Assumptions!$C$25*Assumptions!Z9*Assumptions!Z13</f>
        <v>708632.03874137939</v>
      </c>
      <c r="Z12" s="2">
        <f>Assumptions!$C$25*Assumptions!AA9*Assumptions!AA13</f>
        <v>724221.94359368982</v>
      </c>
      <c r="AA12" s="2">
        <f>Assumptions!$C$25*Assumptions!AB9*Assumptions!AB13</f>
        <v>740154.826352751</v>
      </c>
      <c r="AB12" s="2">
        <f>Assumptions!$C$25*Assumptions!AC9*Assumptions!AC13</f>
        <v>756438.23253251158</v>
      </c>
      <c r="AC12" s="2">
        <f>Assumptions!$C$25*Assumptions!AD9*Assumptions!AD13</f>
        <v>773079.87364822684</v>
      </c>
      <c r="AD12" s="2">
        <f>Assumptions!$C$25*Assumptions!AE9*Assumptions!AE13</f>
        <v>790087.63086848787</v>
      </c>
      <c r="AE12" s="2">
        <f>Assumptions!$C$25*Assumptions!AF9*Assumptions!AF13</f>
        <v>807469.55874759459</v>
      </c>
      <c r="AF12" s="2">
        <f>Assumptions!$C$25*Assumptions!AG9*Assumptions!AG13</f>
        <v>825233.8890400416</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80</v>
      </c>
      <c r="C14" s="5">
        <f>Assumptions!D122*Assumptions!D9</f>
        <v>14308</v>
      </c>
      <c r="D14" s="5">
        <f>Assumptions!E122*Assumptions!E9</f>
        <v>29245.552</v>
      </c>
      <c r="E14" s="5">
        <f>Assumptions!F122*Assumptions!F9</f>
        <v>44833.431215999997</v>
      </c>
      <c r="F14" s="5">
        <f>Assumptions!G122*Assumptions!G9</f>
        <v>61093.022270336005</v>
      </c>
      <c r="G14" s="5">
        <f>Assumptions!H122*Assumptions!H9</f>
        <v>78046.335950354245</v>
      </c>
      <c r="H14" s="5">
        <f>Assumptions!I122*Assumptions!I9</f>
        <v>95716.026409514438</v>
      </c>
      <c r="I14" s="5">
        <f>Assumptions!J122*Assumptions!J9</f>
        <v>114125.40882227769</v>
      </c>
      <c r="J14" s="5">
        <f>Assumptions!K122*Assumptions!K9</f>
        <v>133298.47750442039</v>
      </c>
      <c r="K14" s="5">
        <f>Assumptions!L122*Assumptions!L9</f>
        <v>153259.92451070732</v>
      </c>
      <c r="L14" s="5">
        <f>Assumptions!M122*Assumptions!M9</f>
        <v>174035.15872215878</v>
      </c>
      <c r="M14" s="5">
        <f>Assumptions!N122*Assumptions!N9</f>
        <v>195650.32543545091</v>
      </c>
      <c r="N14" s="5">
        <f>Assumptions!O122*Assumptions!O9</f>
        <v>218132.32646730641</v>
      </c>
      <c r="O14" s="5">
        <f>Assumptions!P122*Assumptions!P9</f>
        <v>241508.84078705273</v>
      </c>
      <c r="P14" s="5">
        <f>Assumptions!Q122*Assumptions!Q9</f>
        <v>265808.34569085768</v>
      </c>
      <c r="Q14" s="5">
        <f>Assumptions!R122*Assumptions!R9</f>
        <v>291060.13853148924</v>
      </c>
      <c r="R14" s="5">
        <f>Assumptions!S122*Assumptions!S9</f>
        <v>317294.35901779414</v>
      </c>
      <c r="S14" s="5">
        <f>Assumptions!T122*Assumptions!T9</f>
        <v>344542.01209844725</v>
      </c>
      <c r="T14" s="5">
        <f>Assumptions!U122*Assumptions!U9</f>
        <v>372834.99144488439</v>
      </c>
      <c r="U14" s="5">
        <f>Assumptions!V122*Assumptions!V9</f>
        <v>402206.10354870907</v>
      </c>
      <c r="V14" s="5">
        <f>Assumptions!W122*Assumptions!W9</f>
        <v>432689.09244924283</v>
      </c>
      <c r="W14" s="5">
        <f>Assumptions!X122*Assumptions!X9</f>
        <v>464318.66510728252</v>
      </c>
      <c r="X14" s="5">
        <f>Assumptions!Y122*Assumptions!Y9</f>
        <v>497130.51744153036</v>
      </c>
      <c r="Y14" s="5">
        <f>Assumptions!Z122*Assumptions!Z9</f>
        <v>531161.36104457325</v>
      </c>
      <c r="Z14" s="5">
        <f>Assumptions!AA122*Assumptions!AA9</f>
        <v>566448.95059570845</v>
      </c>
      <c r="AA14" s="5">
        <f>Assumptions!AB122*Assumptions!AB9</f>
        <v>603032.11198834784</v>
      </c>
      <c r="AB14" s="5">
        <f>Assumptions!AC122*Assumptions!AC9</f>
        <v>640950.7711901752</v>
      </c>
      <c r="AC14" s="5">
        <f>Assumptions!AD122*Assumptions!AD9</f>
        <v>680245.98385468055</v>
      </c>
      <c r="AD14" s="5">
        <f>Assumptions!AE122*Assumptions!AE9</f>
        <v>720959.96570316819</v>
      </c>
      <c r="AE14" s="5">
        <f>Assumptions!AF122*Assumptions!AF9</f>
        <v>763136.12369680346</v>
      </c>
      <c r="AF14" s="5">
        <f>Assumptions!AG122*Assumptions!AG9</f>
        <v>806819.08801875834</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194</v>
      </c>
      <c r="C16" s="37">
        <f>Assumptions!D43</f>
        <v>1</v>
      </c>
      <c r="D16" s="37">
        <f>Assumptions!E43</f>
        <v>1</v>
      </c>
      <c r="E16" s="37">
        <f>Assumptions!F43</f>
        <v>1</v>
      </c>
      <c r="F16" s="37">
        <f>Assumptions!G43</f>
        <v>1</v>
      </c>
      <c r="G16" s="37">
        <f>Assumptions!H43</f>
        <v>1</v>
      </c>
      <c r="H16" s="37">
        <f>Assumptions!I43</f>
        <v>1</v>
      </c>
      <c r="I16" s="37">
        <f>Assumptions!J43</f>
        <v>1</v>
      </c>
      <c r="J16" s="37">
        <f>Assumptions!K43</f>
        <v>1</v>
      </c>
      <c r="K16" s="37">
        <f>Assumptions!L43</f>
        <v>1</v>
      </c>
      <c r="L16" s="37">
        <f>Assumptions!M43</f>
        <v>1</v>
      </c>
      <c r="M16" s="37">
        <f>Assumptions!N43</f>
        <v>1</v>
      </c>
      <c r="N16" s="37">
        <f>Assumptions!O43</f>
        <v>1</v>
      </c>
      <c r="O16" s="37">
        <f>Assumptions!P43</f>
        <v>1</v>
      </c>
      <c r="P16" s="37">
        <f>Assumptions!Q43</f>
        <v>1</v>
      </c>
      <c r="Q16" s="37">
        <f>Assumptions!R43</f>
        <v>1</v>
      </c>
      <c r="R16" s="37">
        <f>Assumptions!S43</f>
        <v>1</v>
      </c>
      <c r="S16" s="37">
        <f>Assumptions!T43</f>
        <v>1</v>
      </c>
      <c r="T16" s="37">
        <f>Assumptions!U43</f>
        <v>1</v>
      </c>
      <c r="U16" s="37">
        <f>Assumptions!V43</f>
        <v>1</v>
      </c>
      <c r="V16" s="37">
        <f>Assumptions!W43</f>
        <v>1</v>
      </c>
      <c r="W16" s="37">
        <f>Assumptions!X43</f>
        <v>1</v>
      </c>
      <c r="X16" s="37">
        <f>Assumptions!Y43</f>
        <v>1</v>
      </c>
      <c r="Y16" s="37">
        <f>Assumptions!Z43</f>
        <v>1</v>
      </c>
      <c r="Z16" s="37">
        <f>Assumptions!AA43</f>
        <v>1</v>
      </c>
      <c r="AA16" s="37">
        <f>Assumptions!AB43</f>
        <v>1</v>
      </c>
      <c r="AB16" s="37">
        <f>Assumptions!AC43</f>
        <v>1</v>
      </c>
      <c r="AC16" s="37">
        <f>Assumptions!AD43</f>
        <v>1</v>
      </c>
      <c r="AD16" s="37">
        <f>Assumptions!AE43</f>
        <v>1</v>
      </c>
      <c r="AE16" s="37">
        <f>Assumptions!AF43</f>
        <v>1</v>
      </c>
      <c r="AF16" s="37">
        <f>Assumptions!AG43</f>
        <v>1</v>
      </c>
    </row>
    <row r="17" spans="1:32" x14ac:dyDescent="0.35">
      <c r="A17" t="s">
        <v>61</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82</v>
      </c>
      <c r="C19" s="44">
        <f>(C12*C16)-C12</f>
        <v>0</v>
      </c>
      <c r="D19" s="44">
        <f t="shared" ref="D19:AF19" si="3">(D12*D16)-D12</f>
        <v>0</v>
      </c>
      <c r="E19" s="44">
        <f t="shared" si="3"/>
        <v>0</v>
      </c>
      <c r="F19" s="44">
        <f t="shared" si="3"/>
        <v>0</v>
      </c>
      <c r="G19" s="44">
        <f t="shared" si="3"/>
        <v>0</v>
      </c>
      <c r="H19" s="44">
        <f t="shared" si="3"/>
        <v>0</v>
      </c>
      <c r="I19" s="44">
        <f t="shared" si="3"/>
        <v>0</v>
      </c>
      <c r="J19" s="44">
        <f t="shared" si="3"/>
        <v>0</v>
      </c>
      <c r="K19" s="44">
        <f t="shared" si="3"/>
        <v>0</v>
      </c>
      <c r="L19" s="44">
        <f t="shared" si="3"/>
        <v>0</v>
      </c>
      <c r="M19" s="44">
        <f t="shared" si="3"/>
        <v>0</v>
      </c>
      <c r="N19" s="44">
        <f t="shared" si="3"/>
        <v>0</v>
      </c>
      <c r="O19" s="44">
        <f t="shared" si="3"/>
        <v>0</v>
      </c>
      <c r="P19" s="44">
        <f t="shared" si="3"/>
        <v>0</v>
      </c>
      <c r="Q19" s="44">
        <f t="shared" si="3"/>
        <v>0</v>
      </c>
      <c r="R19" s="44">
        <f t="shared" si="3"/>
        <v>0</v>
      </c>
      <c r="S19" s="44">
        <f t="shared" si="3"/>
        <v>0</v>
      </c>
      <c r="T19" s="44">
        <f t="shared" si="3"/>
        <v>0</v>
      </c>
      <c r="U19" s="44">
        <f t="shared" si="3"/>
        <v>0</v>
      </c>
      <c r="V19" s="44">
        <f t="shared" si="3"/>
        <v>0</v>
      </c>
      <c r="W19" s="44">
        <f t="shared" si="3"/>
        <v>0</v>
      </c>
      <c r="X19" s="44">
        <f t="shared" si="3"/>
        <v>0</v>
      </c>
      <c r="Y19" s="44">
        <f t="shared" si="3"/>
        <v>0</v>
      </c>
      <c r="Z19" s="44">
        <f t="shared" si="3"/>
        <v>0</v>
      </c>
      <c r="AA19" s="44">
        <f t="shared" si="3"/>
        <v>0</v>
      </c>
      <c r="AB19" s="44">
        <f t="shared" si="3"/>
        <v>0</v>
      </c>
      <c r="AC19" s="44">
        <f t="shared" si="3"/>
        <v>0</v>
      </c>
      <c r="AD19" s="44">
        <f t="shared" si="3"/>
        <v>0</v>
      </c>
      <c r="AE19" s="44">
        <f t="shared" si="3"/>
        <v>0</v>
      </c>
      <c r="AF19" s="44">
        <f t="shared" si="3"/>
        <v>0</v>
      </c>
    </row>
    <row r="20" spans="1:32" x14ac:dyDescent="0.35">
      <c r="A20" t="s">
        <v>83</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93</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84</v>
      </c>
      <c r="C24" s="44">
        <f>(C14*C16)-C14</f>
        <v>0</v>
      </c>
      <c r="D24" s="44">
        <f t="shared" ref="D24:AF24" si="6">(D14*D16)-D14</f>
        <v>0</v>
      </c>
      <c r="E24" s="44">
        <f t="shared" si="6"/>
        <v>0</v>
      </c>
      <c r="F24" s="44">
        <f t="shared" si="6"/>
        <v>0</v>
      </c>
      <c r="G24" s="44">
        <f t="shared" si="6"/>
        <v>0</v>
      </c>
      <c r="H24" s="44">
        <f t="shared" si="6"/>
        <v>0</v>
      </c>
      <c r="I24" s="44">
        <f t="shared" si="6"/>
        <v>0</v>
      </c>
      <c r="J24" s="44">
        <f t="shared" si="6"/>
        <v>0</v>
      </c>
      <c r="K24" s="44">
        <f t="shared" si="6"/>
        <v>0</v>
      </c>
      <c r="L24" s="44">
        <f t="shared" si="6"/>
        <v>0</v>
      </c>
      <c r="M24" s="44">
        <f t="shared" si="6"/>
        <v>0</v>
      </c>
      <c r="N24" s="44">
        <f t="shared" si="6"/>
        <v>0</v>
      </c>
      <c r="O24" s="44">
        <f t="shared" si="6"/>
        <v>0</v>
      </c>
      <c r="P24" s="44">
        <f t="shared" si="6"/>
        <v>0</v>
      </c>
      <c r="Q24" s="44">
        <f t="shared" si="6"/>
        <v>0</v>
      </c>
      <c r="R24" s="44">
        <f t="shared" si="6"/>
        <v>0</v>
      </c>
      <c r="S24" s="44">
        <f t="shared" si="6"/>
        <v>0</v>
      </c>
      <c r="T24" s="44">
        <f t="shared" si="6"/>
        <v>0</v>
      </c>
      <c r="U24" s="44">
        <f t="shared" si="6"/>
        <v>0</v>
      </c>
      <c r="V24" s="44">
        <f t="shared" si="6"/>
        <v>0</v>
      </c>
      <c r="W24" s="44">
        <f t="shared" si="6"/>
        <v>0</v>
      </c>
      <c r="X24" s="44">
        <f t="shared" si="6"/>
        <v>0</v>
      </c>
      <c r="Y24" s="44">
        <f t="shared" si="6"/>
        <v>0</v>
      </c>
      <c r="Z24" s="44">
        <f t="shared" si="6"/>
        <v>0</v>
      </c>
      <c r="AA24" s="44">
        <f t="shared" si="6"/>
        <v>0</v>
      </c>
      <c r="AB24" s="44">
        <f t="shared" si="6"/>
        <v>0</v>
      </c>
      <c r="AC24" s="44">
        <f t="shared" si="6"/>
        <v>0</v>
      </c>
      <c r="AD24" s="44">
        <f t="shared" si="6"/>
        <v>0</v>
      </c>
      <c r="AE24" s="44">
        <f t="shared" si="6"/>
        <v>0</v>
      </c>
      <c r="AF24" s="44">
        <f t="shared" si="6"/>
        <v>0</v>
      </c>
    </row>
    <row r="25" spans="1:32" x14ac:dyDescent="0.35">
      <c r="A25" t="s">
        <v>85</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45</v>
      </c>
      <c r="C27" s="2">
        <f>C12+C13+C14+C19+C20+C22+C24+C25</f>
        <v>453344.95362660004</v>
      </c>
      <c r="D27" s="2">
        <f t="shared" ref="D27:AF27" si="8">D12+D13+D14+D19+D20+D22+D24+D25</f>
        <v>477941.3186063852</v>
      </c>
      <c r="E27" s="2">
        <f t="shared" si="8"/>
        <v>503400.50468772568</v>
      </c>
      <c r="F27" s="2">
        <f t="shared" si="8"/>
        <v>529748.57135843963</v>
      </c>
      <c r="G27" s="2">
        <f t="shared" si="8"/>
        <v>557012.30711839616</v>
      </c>
      <c r="H27" s="2">
        <f t="shared" si="8"/>
        <v>585219.2489432533</v>
      </c>
      <c r="I27" s="2">
        <f t="shared" si="8"/>
        <v>614397.70225175878</v>
      </c>
      <c r="J27" s="2">
        <f t="shared" si="8"/>
        <v>644576.76138935017</v>
      </c>
      <c r="K27" s="2">
        <f t="shared" si="8"/>
        <v>675786.33064110554</v>
      </c>
      <c r="L27" s="2">
        <f t="shared" si="8"/>
        <v>708057.14578742569</v>
      </c>
      <c r="M27" s="2">
        <f t="shared" si="8"/>
        <v>741420.79621615377</v>
      </c>
      <c r="N27" s="2">
        <f t="shared" si="8"/>
        <v>775909.74760518479</v>
      </c>
      <c r="O27" s="2">
        <f t="shared" si="8"/>
        <v>811557.36518996442</v>
      </c>
      <c r="P27" s="2">
        <f t="shared" si="8"/>
        <v>848397.93763063336</v>
      </c>
      <c r="Q27" s="2">
        <f t="shared" si="8"/>
        <v>886466.70149394008</v>
      </c>
      <c r="R27" s="2">
        <f t="shared" si="8"/>
        <v>925799.86636541889</v>
      </c>
      <c r="S27" s="2">
        <f t="shared" si="8"/>
        <v>966434.64060771978</v>
      </c>
      <c r="T27" s="2">
        <f t="shared" si="8"/>
        <v>1008409.2577813608</v>
      </c>
      <c r="U27" s="2">
        <f t="shared" si="8"/>
        <v>1051763.003744588</v>
      </c>
      <c r="V27" s="2">
        <f t="shared" si="8"/>
        <v>1096536.2444494311</v>
      </c>
      <c r="W27" s="2">
        <f t="shared" si="8"/>
        <v>1142770.4544514751</v>
      </c>
      <c r="X27" s="2">
        <f t="shared" si="8"/>
        <v>1190508.246151295</v>
      </c>
      <c r="Y27" s="2">
        <f t="shared" si="8"/>
        <v>1239793.3997859526</v>
      </c>
      <c r="Z27" s="2">
        <f t="shared" si="8"/>
        <v>1290670.8941893983</v>
      </c>
      <c r="AA27" s="2">
        <f t="shared" si="8"/>
        <v>1343186.9383410988</v>
      </c>
      <c r="AB27" s="2">
        <f t="shared" si="8"/>
        <v>1397389.0037226868</v>
      </c>
      <c r="AC27" s="2">
        <f t="shared" si="8"/>
        <v>1453325.8575029075</v>
      </c>
      <c r="AD27" s="2">
        <f t="shared" si="8"/>
        <v>1511047.5965716559</v>
      </c>
      <c r="AE27" s="2">
        <f t="shared" si="8"/>
        <v>1570605.6824443981</v>
      </c>
      <c r="AF27" s="2">
        <f t="shared" si="8"/>
        <v>1632052.9770587999</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3W2DU3RAJ5R2-1900874439-766</_dlc_DocId>
    <_dlc_DocIdUrl xmlns="f54e2983-00ce-40fc-8108-18f351fc47bf">
      <Url>https://dia.cohesion.net.nz/Sites/LGV/TWRP/CAE/_layouts/15/DocIdRedir.aspx?ID=3W2DU3RAJ5R2-1900874439-766</Url>
      <Description>3W2DU3RAJ5R2-1900874439-766</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BCC2D2A-763C-48F8-A3E5-6B0A81386C39}">
  <ds:schemaRefs>
    <ds:schemaRef ds:uri="http://schemas.microsoft.com/office/2006/documentManagement/types"/>
    <ds:schemaRef ds:uri="http://schemas.microsoft.com/office/infopath/2007/PartnerControls"/>
    <ds:schemaRef ds:uri="http://purl.org/dc/dcmitype/"/>
    <ds:schemaRef ds:uri="http://purl.org/dc/terms/"/>
    <ds:schemaRef ds:uri="http://schemas.openxmlformats.org/package/2006/metadata/core-properties"/>
    <ds:schemaRef ds:uri="http://www.w3.org/XML/1998/namespace"/>
    <ds:schemaRef ds:uri="65b6d800-2dda-48d6-88d8-9e2b35e6f7ea"/>
    <ds:schemaRef ds:uri="08a23fc5-e034-477c-ac83-93bc1440f322"/>
    <ds:schemaRef ds:uri="http://schemas.microsoft.com/sharepoint/v3"/>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A3DEFCB0-10B3-4A60-B409-128081F3C6AA}"/>
</file>

<file path=customXml/itemProps3.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4.xml><?xml version="1.0" encoding="utf-8"?>
<ds:datastoreItem xmlns:ds="http://schemas.openxmlformats.org/officeDocument/2006/customXml" ds:itemID="{F8E506BA-472E-47A1-A281-34D348FC927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2021-07-05T12:08:07Z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d44996dd-c87e-4e82-a21b-b5f6e8ea94d4</vt:lpwstr>
  </property>
</Properties>
</file>