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2" documentId="8_{650472AA-354E-48E6-B755-12141FDCB8C1}" xr6:coauthVersionLast="47" xr6:coauthVersionMax="47" xr10:uidLastSave="{CBF7ABD9-9424-4520-962E-AC735A03663B}"/>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c r="A9" i="19"/>
  <c r="B40" i="21"/>
  <c r="B27" i="21"/>
  <c r="A21" i="21"/>
  <c r="A34" i="21"/>
  <c r="B8" i="21"/>
  <c r="B21" i="21"/>
  <c r="B34" i="21"/>
  <c r="C83" i="2"/>
  <c r="C87" i="2"/>
  <c r="C82" i="2"/>
  <c r="C89" i="2"/>
  <c r="C94" i="2"/>
  <c r="C90" i="2"/>
  <c r="C95" i="2"/>
  <c r="C96" i="2"/>
  <c r="C102" i="2"/>
  <c r="D113" i="2"/>
  <c r="C58" i="2"/>
  <c r="C106" i="2"/>
  <c r="C63" i="2"/>
  <c r="C107" i="2"/>
  <c r="D11" i="2"/>
  <c r="C40" i="2"/>
  <c r="C41" i="2"/>
  <c r="C39" i="2"/>
  <c r="C36" i="2"/>
  <c r="C37" i="2"/>
  <c r="C35"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<sst xmlns="http://schemas.openxmlformats.org/spreadsheetml/2006/main" count="276" uniqueCount="204">
  <si>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</si>
  <si>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</si>
  <si>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</si>
  <si>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</si>
  <si>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</si>
  <si>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</si>
  <si>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</si>
  <si>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</si>
  <si>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</si>
  <si>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</si>
  <si>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</si>
  <si>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</si>
  <si>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</si>
  <si>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</si>
  <si>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</si>
  <si>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</si>
  <si>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</si>
  <si>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</si>
  <si>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</si>
  <si>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</si>
  <si>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</si>
  <si>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</si>
  <si>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</si>
  <si>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</si>
  <si>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</si>
  <si>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</si>
  <si>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</si>
  <si>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</si>
  <si>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</si>
  <si>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</si>
  <si>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</si>
  <si>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</si>
  <si>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</si>
  <si>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</si>
  <si>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</si>
  <si>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</si>
  <si>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</si>
  <si>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</si>
  <si>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</si>
  <si>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</si>
  <si>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</si>
  <si>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</si>
  <si>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</si>
  <si>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</si>
  <si>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</si>
  <si>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</si>
  <si>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</si>
  <si>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</si>
  <si>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</si>
  <si>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</si>
  <si>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</si>
  <si>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</si>
  <si>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</si>
  <si>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</si>
  <si>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</si>
  <si>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</si>
  <si>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</si>
  <si>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</si>
  <si>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</si>
  <si>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</si>
  <si>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</si>
  <si>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</si>
  <si>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</si>
  <si>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</si>
  <si>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</si>
  <si>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</si>
  <si>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</si>
  <si>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</si>
  <si>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</si>
  <si>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</si>
  <si>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</si>
  <si>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</si>
  <si>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</si>
  <si>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</si>
  <si>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</si>
  <si>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</si>
  <si>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</si>
  <si>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</si>
  <si>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</si>
  <si>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</si>
  <si>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</si>
  <si>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</si>
  <si>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</si>
  <si>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</si>
  <si>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</si>
  <si>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</si>
  <si>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</si>
  <si>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</si>
  <si>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</si>
  <si>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</si>
  <si>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</si>
  <si>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</si>
  <si>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</si>
  <si>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</si>
  <si>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</si>
  <si>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</si>
  <si>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</si>
  <si>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</si>
  <si>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</si>
  <si>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</si>
  <si>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</si>
  <si>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</si>
  <si>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</si>
  <si>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</si>
  <si>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</si>
  <si>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</si>
  <si>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</si>
  <si>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</si>
  <si>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</si>
  <si>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</si>
  <si>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</si>
  <si>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</si>
  <si>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</si>
  <si>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</si>
  <si>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</si>
  <si>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</si>
  <si>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</si>
  <si>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</si>
  <si>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</si>
  <si>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</si>
  <si>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</si>
  <si>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</si>
  <si>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</si>
  <si>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</si>
  <si>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</si>
  <si>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</si>
  <si>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</si>
  <si>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</si>
  <si>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</si>
  <si>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</si>
  <si>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</si>
  <si>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</si>
  <si>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</si>
  <si>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</si>
  <si>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</si>
  <si>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</si>
  <si>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</si>
  <si>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</si>
  <si>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</si>
  <si>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</si>
  <si>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</si>
  <si>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</si>
  <si>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</si>
  <si>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</si>
  <si>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</si>
  <si>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</si>
  <si>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</si>
  <si>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</si>
  <si>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</si>
  <si>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</si>
  <si>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</si>
  <si>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</si>
  <si>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</si>
  <si>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</si>
  <si>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</si>
  <si>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</si>
  <si>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</si>
  <si>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</si>
  <si>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</si>
  <si>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</si>
  <si>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</si>
  <si>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</si>
  <si>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</si>
  <si>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</si>
  <si>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</si>
  <si>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</si>
  <si>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</si>
  <si>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</si>
  <si>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</si>
  <si>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</si>
  <si>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</si>
  <si>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</si>
  <si>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</si>
  <si>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</si>
  <si>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</si>
  <si>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</si>
  <si>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</si>
  <si>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</si>
  <si>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</si>
  <si>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</si>
  <si>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</si>
  <si>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</si>
  <si>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</si>
  <si>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</si>
  <si>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</si>
  <si>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</si>
  <si>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</si>
  <si>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</si>
  <si>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</si>
  <si>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</si>
  <si>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</si>
  <si>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</si>
  <si>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</si>
  <si>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</si>
  <si>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</si>
  <si>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</si>
  <si>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</si>
  <si>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Horowhenua Stand-alone Council</t>
  </si>
  <si>
    <t>RFI Table F10; Lines F10.62 + F10.70 - F10.61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</si>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</sst>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438346573.75000006</v>
      </c>
      <c r="C6" s="12">
        <f ca="1">B6+Depreciation!C18+'Cash Flow'!C13</f>
        <v>448675553.54243851</v>
      </c>
      <c r="D6" s="1">
        <f ca="1">C6+Depreciation!D18</f>
        <v>484270504.70926529</v>
      </c>
      <c r="E6" s="1">
        <f ca="1">D6+Depreciation!E18</f>
        <v>521683981.96768665</v>
      </c>
      <c r="F6" s="1">
        <f ca="1">E6+Depreciation!F18</f>
        <v>560995921.75756991</v>
      </c>
      <c r="G6" s="1">
        <f ca="1">F6+Depreciation!G18</f>
        <v>602289514.28021586</v>
      </c>
      <c r="H6" s="1">
        <f ca="1">G6+Depreciation!H18</f>
        <v>645651329.88417661</v>
      </c>
      <c r="I6" s="1">
        <f ca="1">H6+Depreciation!I18</f>
        <v>691171450.20791304</v>
      </c>
      <c r="J6" s="1">
        <f ca="1">I6+Depreciation!J18</f>
        <v>738943604.2543124</v>
      </c>
      <c r="K6" s="1">
        <f ca="1">J6+Depreciation!K18</f>
        <v>789065309.57841349</v>
      </c>
      <c r="L6" s="1">
        <f ca="1">K6+Depreciation!L18</f>
        <v>841638018.77624583</v>
      </c>
      <c r="M6" s="1">
        <f ca="1">L6+Depreciation!M18</f>
        <v>896767271.46947622</v>
      </c>
      <c r="N6" s="1">
        <f ca="1">M6+Depreciation!N18</f>
        <v>954562851.98759174</v>
      </c>
      <c r="O6" s="1">
        <f ca="1">N6+Depreciation!O18</f>
        <v>1015138952.956627</v>
      </c>
      <c r="P6" s="1">
        <f ca="1">O6+Depreciation!P18</f>
        <v>1078614345.0109904</v>
      </c>
      <c r="Q6" s="1">
        <f ca="1">P6+Depreciation!Q18</f>
        <v>1145112552.8527505</v>
      </c>
      <c r="R6" s="1">
        <f ca="1">Q6+Depreciation!R18</f>
        <v>1214762037.8908372</v>
      </c>
      <c r="S6" s="1">
        <f ca="1">R6+Depreciation!S18</f>
        <v>1287696387.7009854</v>
      </c>
      <c r="T6" s="1">
        <f ca="1">S6+Depreciation!T18</f>
        <v>1364054512.5559282</v>
      </c>
      <c r="U6" s="1">
        <f ca="1">T6+Depreciation!U18</f>
        <v>1443980849.2843266</v>
      </c>
      <c r="V6" s="1">
        <f ca="1">U6+Depreciation!V18</f>
        <v>1527625572.7262304</v>
      </c>
      <c r="W6" s="1">
        <f ca="1">V6+Depreciation!W18</f>
        <v>1615144815.062494</v>
      </c>
      <c r="X6" s="1">
        <f ca="1">W6+Depreciation!X18</f>
        <v>1706700893.305552</v>
      </c>
      <c r="Y6" s="1">
        <f ca="1">X6+Depreciation!Y18</f>
        <v>1802462545.2492869</v>
      </c>
      <c r="Z6" s="1">
        <f ca="1">Y6+Depreciation!Z18</f>
        <v>1902605174.1864209</v>
      </c>
      <c r="AA6" s="1">
        <f ca="1">Z6+Depreciation!AA18</f>
        <v>2007311102.7129414</v>
      </c>
      <c r="AB6" s="1">
        <f ca="1">AA6+Depreciation!AB18</f>
        <v>2116769835.9505374</v>
      </c>
      <c r="AC6" s="1">
        <f ca="1">AB6+Depreciation!AC18</f>
        <v>2231178334.5299067</v>
      </c>
      <c r="AD6" s="1">
        <f ca="1">AC6+Depreciation!AD18</f>
        <v>2350741297.6900878</v>
      </c>
      <c r="AE6" s="1">
        <f ca="1">AD6+Depreciation!AE18</f>
        <v>2475671456.8617067</v>
      </c>
      <c r="AF6" s="1"/>
      <c r="AG6" s="1"/>
      <c r="AH6" s="1"/>
      <c r="AI6" s="1"/>
      <c r="AJ6" s="1"/>
      <c r="AK6" s="1"/>
      <c r="AL6" s="1"/>
      <c r="AM6" s="1"/>
      <c r="AN6" s="1"/>
      <c r="AO6" s="1"/>
      <c r="AP6" s="1"/>
    </row>
    <row r="7" spans="1:42" x14ac:dyDescent="0.35">
      <c r="A7" t="s">
        <v>12</v>
      </c>
      <c r="B7" s="1">
        <f>Depreciation!C12</f>
        <v>226443091.4577162</v>
      </c>
      <c r="C7" s="1">
        <f>Depreciation!D12</f>
        <v>234603948.05670735</v>
      </c>
      <c r="D7" s="1">
        <f>Depreciation!E12</f>
        <v>243705439.72112238</v>
      </c>
      <c r="E7" s="1">
        <f>Depreciation!F12</f>
        <v>253799410.37799105</v>
      </c>
      <c r="F7" s="1">
        <f>Depreciation!G12</f>
        <v>264940058.755366</v>
      </c>
      <c r="G7" s="1">
        <f>Depreciation!H12</f>
        <v>277184036.00140703</v>
      </c>
      <c r="H7" s="1">
        <f>Depreciation!I12</f>
        <v>290590547.13977033</v>
      </c>
      <c r="I7" s="1">
        <f>Depreciation!J12</f>
        <v>305221456.50686461</v>
      </c>
      <c r="J7" s="1">
        <f>Depreciation!K12</f>
        <v>321141397.3219229</v>
      </c>
      <c r="K7" s="1">
        <f>Depreciation!L12</f>
        <v>338417885.54642302</v>
      </c>
      <c r="L7" s="1">
        <f>Depreciation!M12</f>
        <v>357121438.19517463</v>
      </c>
      <c r="M7" s="1">
        <f>Depreciation!N12</f>
        <v>377325696.26738799</v>
      </c>
      <c r="N7" s="1">
        <f>Depreciation!O12</f>
        <v>399107552.47225225</v>
      </c>
      <c r="O7" s="1">
        <f>Depreciation!P12</f>
        <v>422547283.92999119</v>
      </c>
      <c r="P7" s="1">
        <f>Depreciation!Q12</f>
        <v>447728690.03603488</v>
      </c>
      <c r="Q7" s="1">
        <f>Depreciation!R12</f>
        <v>474739235.68286228</v>
      </c>
      <c r="R7" s="1">
        <f>Depreciation!S12</f>
        <v>503670200.0412308</v>
      </c>
      <c r="S7" s="1">
        <f>Depreciation!T12</f>
        <v>534616831.10993683</v>
      </c>
      <c r="T7" s="1">
        <f>Depreciation!U12</f>
        <v>567678506.25093901</v>
      </c>
      <c r="U7" s="1">
        <f>Depreciation!V12</f>
        <v>602958898.93464983</v>
      </c>
      <c r="V7" s="1">
        <f>Depreciation!W12</f>
        <v>640566151.92845833</v>
      </c>
      <c r="W7" s="1">
        <f>Depreciation!X12</f>
        <v>680613057.1701026</v>
      </c>
      <c r="X7" s="1">
        <f>Depreciation!Y12</f>
        <v>723217242.57637858</v>
      </c>
      <c r="Y7" s="1">
        <f>Depreciation!Z12</f>
        <v>768501366.04685509</v>
      </c>
      <c r="Z7" s="1">
        <f>Depreciation!AA12</f>
        <v>816593316.93178511</v>
      </c>
      <c r="AA7" s="1">
        <f>Depreciation!AB12</f>
        <v>867626425.24325979</v>
      </c>
      <c r="AB7" s="1">
        <f>Depreciation!AC12</f>
        <v>921739678.89887178</v>
      </c>
      <c r="AC7" s="1">
        <f>Depreciation!AD12</f>
        <v>979077949.29773498</v>
      </c>
      <c r="AD7" s="1">
        <f>Depreciation!AE12</f>
        <v>1039792225.5396742</v>
      </c>
      <c r="AE7" s="1">
        <f>Depreciation!AF12</f>
        <v>1104039857.6097577</v>
      </c>
      <c r="AF7" s="1"/>
      <c r="AG7" s="1"/>
      <c r="AH7" s="1"/>
      <c r="AI7" s="1"/>
      <c r="AJ7" s="1"/>
      <c r="AK7" s="1"/>
      <c r="AL7" s="1"/>
      <c r="AM7" s="1"/>
      <c r="AN7" s="1"/>
      <c r="AO7" s="1"/>
      <c r="AP7" s="1"/>
    </row>
    <row r="8" spans="1:42" x14ac:dyDescent="0.35">
      <c r="A8" t="s">
        <v>190</v>
      </c>
      <c r="B8" s="1">
        <f t="shared" ref="B8:AE8" si="1">B6-B7</f>
        <v>211903482.29228386</v>
      </c>
      <c r="C8" s="1">
        <f t="shared" ca="1" si="1"/>
        <v>214071605.48573115</v>
      </c>
      <c r="D8" s="1">
        <f ca="1">D6-D7</f>
        <v>240565064.98814291</v>
      </c>
      <c r="E8" s="1">
        <f t="shared" ca="1" si="1"/>
        <v>267884571.5896956</v>
      </c>
      <c r="F8" s="1">
        <f t="shared" ca="1" si="1"/>
        <v>296055863.00220394</v>
      </c>
      <c r="G8" s="1">
        <f t="shared" ca="1" si="1"/>
        <v>325105478.27880883</v>
      </c>
      <c r="H8" s="1">
        <f t="shared" ca="1" si="1"/>
        <v>355060782.74440628</v>
      </c>
      <c r="I8" s="1">
        <f t="shared" ca="1" si="1"/>
        <v>385949993.70104843</v>
      </c>
      <c r="J8" s="1">
        <f t="shared" ca="1" si="1"/>
        <v>417802206.9323895</v>
      </c>
      <c r="K8" s="1">
        <f t="shared" ca="1" si="1"/>
        <v>450647424.03199047</v>
      </c>
      <c r="L8" s="1">
        <f t="shared" ca="1" si="1"/>
        <v>484516580.5810712</v>
      </c>
      <c r="M8" s="1">
        <f t="shared" ca="1" si="1"/>
        <v>519441575.20208824</v>
      </c>
      <c r="N8" s="1">
        <f t="shared" ca="1" si="1"/>
        <v>555455299.51533949</v>
      </c>
      <c r="O8" s="1">
        <f t="shared" ca="1" si="1"/>
        <v>592591669.02663589</v>
      </c>
      <c r="P8" s="1">
        <f t="shared" ca="1" si="1"/>
        <v>630885654.97495556</v>
      </c>
      <c r="Q8" s="1">
        <f t="shared" ca="1" si="1"/>
        <v>670373317.16988826</v>
      </c>
      <c r="R8" s="1">
        <f t="shared" ca="1" si="1"/>
        <v>711091837.84960639</v>
      </c>
      <c r="S8" s="1">
        <f t="shared" ca="1" si="1"/>
        <v>753079556.5910486</v>
      </c>
      <c r="T8" s="1">
        <f t="shared" ca="1" si="1"/>
        <v>796376006.30498922</v>
      </c>
      <c r="U8" s="1">
        <f t="shared" ca="1" si="1"/>
        <v>841021950.34967673</v>
      </c>
      <c r="V8" s="1">
        <f t="shared" ca="1" si="1"/>
        <v>887059420.79777205</v>
      </c>
      <c r="W8" s="1">
        <f t="shared" ca="1" si="1"/>
        <v>934531757.89239144</v>
      </c>
      <c r="X8" s="1">
        <f t="shared" ca="1" si="1"/>
        <v>983483650.72917342</v>
      </c>
      <c r="Y8" s="1">
        <f t="shared" ca="1" si="1"/>
        <v>1033961179.2024318</v>
      </c>
      <c r="Z8" s="1">
        <f t="shared" ca="1" si="1"/>
        <v>1086011857.2546358</v>
      </c>
      <c r="AA8" s="1">
        <f t="shared" ca="1" si="1"/>
        <v>1139684677.4696817</v>
      </c>
      <c r="AB8" s="1">
        <f t="shared" ca="1" si="1"/>
        <v>1195030157.0516658</v>
      </c>
      <c r="AC8" s="1">
        <f t="shared" ca="1" si="1"/>
        <v>1252100385.2321718</v>
      </c>
      <c r="AD8" s="1">
        <f t="shared" ca="1" si="1"/>
        <v>1310949072.1504135</v>
      </c>
      <c r="AE8" s="1">
        <f t="shared" ca="1" si="1"/>
        <v>1371631599.2519491</v>
      </c>
      <c r="AF8" s="1"/>
      <c r="AG8" s="1"/>
      <c r="AH8" s="1"/>
      <c r="AI8" s="1"/>
      <c r="AJ8" s="1"/>
      <c r="AK8" s="1"/>
      <c r="AL8" s="1"/>
      <c r="AM8" s="1"/>
      <c r="AN8" s="1"/>
      <c r="AO8" s="1"/>
      <c r="AP8" s="1"/>
    </row>
    <row r="10" spans="1:42" x14ac:dyDescent="0.35">
      <c r="A10" t="s">
        <v>17</v>
      </c>
      <c r="B10" s="1">
        <f>B8-B11</f>
        <v>161158482.29228386</v>
      </c>
      <c r="C10" s="1">
        <f ca="1">C8-C11</f>
        <v>139802355.7266205</v>
      </c>
      <c r="D10" s="1">
        <f ca="1">D8-D11</f>
        <v>146775196.30662149</v>
      </c>
      <c r="E10" s="1">
        <f t="shared" ref="E10:AE10" ca="1" si="2">E8-E11</f>
        <v>158035017.1360482</v>
      </c>
      <c r="F10" s="1">
        <f t="shared" ca="1" si="2"/>
        <v>173331155.22375709</v>
      </c>
      <c r="G10" s="1">
        <f ca="1">G8-G11</f>
        <v>191117827.85899949</v>
      </c>
      <c r="H10" s="1">
        <f t="shared" ca="1" si="2"/>
        <v>210409113.41852269</v>
      </c>
      <c r="I10" s="1">
        <f t="shared" ca="1" si="2"/>
        <v>231524677.06502593</v>
      </c>
      <c r="J10" s="1">
        <f t="shared" ca="1" si="2"/>
        <v>254190469.78579384</v>
      </c>
      <c r="K10" s="1">
        <f t="shared" ca="1" si="2"/>
        <v>277306148.52238405</v>
      </c>
      <c r="L10" s="1">
        <f t="shared" ca="1" si="2"/>
        <v>300941803.20786589</v>
      </c>
      <c r="M10" s="1">
        <f t="shared" ca="1" si="2"/>
        <v>325177283.6956256</v>
      </c>
      <c r="N10" s="1">
        <f t="shared" ca="1" si="2"/>
        <v>350103155.1789825</v>
      </c>
      <c r="O10" s="1">
        <f t="shared" ca="1" si="2"/>
        <v>375821731.09052044</v>
      </c>
      <c r="P10" s="1">
        <f t="shared" ca="1" si="2"/>
        <v>402448189.13286895</v>
      </c>
      <c r="Q10" s="1">
        <f t="shared" ca="1" si="2"/>
        <v>429324743.43443316</v>
      </c>
      <c r="R10" s="1">
        <f t="shared" ca="1" si="2"/>
        <v>456478247.61026913</v>
      </c>
      <c r="S10" s="1">
        <f t="shared" ca="1" si="2"/>
        <v>483940458.90404165</v>
      </c>
      <c r="T10" s="1">
        <f t="shared" ca="1" si="2"/>
        <v>511748544.58644831</v>
      </c>
      <c r="U10" s="1">
        <f t="shared" ca="1" si="2"/>
        <v>539945628.51992118</v>
      </c>
      <c r="V10" s="1">
        <f t="shared" ca="1" si="2"/>
        <v>568581380.65427351</v>
      </c>
      <c r="W10" s="1">
        <f t="shared" ca="1" si="2"/>
        <v>597712652.39267278</v>
      </c>
      <c r="X10" s="1">
        <f t="shared" ca="1" si="2"/>
        <v>627404160.95249021</v>
      </c>
      <c r="Y10" s="1">
        <f t="shared" ca="1" si="2"/>
        <v>657729226.04179513</v>
      </c>
      <c r="Z10" s="1">
        <f t="shared" ca="1" si="2"/>
        <v>688770562.38016164</v>
      </c>
      <c r="AA10" s="1">
        <f t="shared" ca="1" si="2"/>
        <v>720621131.81272602</v>
      </c>
      <c r="AB10" s="1">
        <f t="shared" ca="1" si="2"/>
        <v>753385058.99975324</v>
      </c>
      <c r="AC10" s="1">
        <f t="shared" ca="1" si="2"/>
        <v>787178614.91112661</v>
      </c>
      <c r="AD10" s="1">
        <f t="shared" ca="1" si="2"/>
        <v>822131272.61692119</v>
      </c>
      <c r="AE10" s="1">
        <f t="shared" ca="1" si="2"/>
        <v>858386840.14241898</v>
      </c>
      <c r="AF10" s="1"/>
      <c r="AG10" s="1"/>
      <c r="AH10" s="1"/>
      <c r="AI10" s="1"/>
      <c r="AJ10" s="1"/>
      <c r="AK10" s="1"/>
      <c r="AL10" s="1"/>
      <c r="AM10" s="1"/>
      <c r="AN10" s="1"/>
      <c r="AO10" s="1"/>
    </row>
    <row r="11" spans="1:42" x14ac:dyDescent="0.35">
      <c r="A11" t="s">
        <v>9</v>
      </c>
      <c r="B11" s="1">
        <f>Assumptions!$C$20</f>
        <v>50745000</v>
      </c>
      <c r="C11" s="1">
        <f ca="1">'Debt worksheet'!D5</f>
        <v>74269249.759110659</v>
      </c>
      <c r="D11" s="1">
        <f ca="1">'Debt worksheet'!E5</f>
        <v>93789868.681521401</v>
      </c>
      <c r="E11" s="1">
        <f ca="1">'Debt worksheet'!F5</f>
        <v>109849554.45364742</v>
      </c>
      <c r="F11" s="1">
        <f ca="1">'Debt worksheet'!G5</f>
        <v>122724707.77844687</v>
      </c>
      <c r="G11" s="1">
        <f ca="1">'Debt worksheet'!H5</f>
        <v>133987650.41980936</v>
      </c>
      <c r="H11" s="1">
        <f ca="1">'Debt worksheet'!I5</f>
        <v>144651669.3258836</v>
      </c>
      <c r="I11" s="1">
        <f ca="1">'Debt worksheet'!J5</f>
        <v>154425316.63602251</v>
      </c>
      <c r="J11" s="1">
        <f ca="1">'Debt worksheet'!K5</f>
        <v>163611737.14659566</v>
      </c>
      <c r="K11" s="1">
        <f ca="1">'Debt worksheet'!L5</f>
        <v>173341275.50960639</v>
      </c>
      <c r="L11" s="1">
        <f ca="1">'Debt worksheet'!M5</f>
        <v>183574777.3732053</v>
      </c>
      <c r="M11" s="1">
        <f ca="1">'Debt worksheet'!N5</f>
        <v>194264291.50646263</v>
      </c>
      <c r="N11" s="1">
        <f ca="1">'Debt worksheet'!O5</f>
        <v>205352144.336357</v>
      </c>
      <c r="O11" s="1">
        <f ca="1">'Debt worksheet'!P5</f>
        <v>216769937.93611544</v>
      </c>
      <c r="P11" s="1">
        <f ca="1">'Debt worksheet'!Q5</f>
        <v>228437465.84208661</v>
      </c>
      <c r="Q11" s="1">
        <f ca="1">'Debt worksheet'!R5</f>
        <v>241048573.7354551</v>
      </c>
      <c r="R11" s="1">
        <f ca="1">'Debt worksheet'!S5</f>
        <v>254613590.23933727</v>
      </c>
      <c r="S11" s="1">
        <f ca="1">'Debt worksheet'!T5</f>
        <v>269139097.68700695</v>
      </c>
      <c r="T11" s="1">
        <f ca="1">'Debt worksheet'!U5</f>
        <v>284627461.71854091</v>
      </c>
      <c r="U11" s="1">
        <f ca="1">'Debt worksheet'!V5</f>
        <v>301076321.82975554</v>
      </c>
      <c r="V11" s="1">
        <f ca="1">'Debt worksheet'!W5</f>
        <v>318478040.14349848</v>
      </c>
      <c r="W11" s="1">
        <f ca="1">'Debt worksheet'!X5</f>
        <v>336819105.49971867</v>
      </c>
      <c r="X11" s="1">
        <f ca="1">'Debt worksheet'!Y5</f>
        <v>356079489.77668321</v>
      </c>
      <c r="Y11" s="1">
        <f ca="1">'Debt worksheet'!Z5</f>
        <v>376231953.16063666</v>
      </c>
      <c r="Z11" s="1">
        <f ca="1">'Debt worksheet'!AA5</f>
        <v>397241294.87447417</v>
      </c>
      <c r="AA11" s="1">
        <f ca="1">'Debt worksheet'!AB5</f>
        <v>419063545.65695572</v>
      </c>
      <c r="AB11" s="1">
        <f ca="1">'Debt worksheet'!AC5</f>
        <v>441645098.05191255</v>
      </c>
      <c r="AC11" s="1">
        <f ca="1">'Debt worksheet'!AD5</f>
        <v>464921770.32104522</v>
      </c>
      <c r="AD11" s="1">
        <f ca="1">'Debt worksheet'!AE5</f>
        <v>488817799.53349233</v>
      </c>
      <c r="AE11" s="1">
        <f ca="1">'Debt worksheet'!AF5</f>
        <v>513244759.10953009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3059175.2097223015</v>
      </c>
      <c r="D5" s="4">
        <f ca="1">'Profit and Loss'!D9</f>
        <v>7913475.6454248708</v>
      </c>
      <c r="E5" s="4">
        <f ca="1">'Profit and Loss'!E9</f>
        <v>12252299.821880326</v>
      </c>
      <c r="F5" s="4">
        <f ca="1">'Profit and Loss'!F9</f>
        <v>16342815.8082151</v>
      </c>
      <c r="G5" s="4">
        <f ca="1">'Profit and Loss'!G9</f>
        <v>18890001.50390853</v>
      </c>
      <c r="H5" s="4">
        <f ca="1">'Profit and Loss'!H9</f>
        <v>20453819.451845445</v>
      </c>
      <c r="I5" s="4">
        <f ca="1">'Profit and Loss'!I9</f>
        <v>22339961.87523422</v>
      </c>
      <c r="J5" s="4">
        <f ca="1">'Profit and Loss'!J9</f>
        <v>23954824.168731894</v>
      </c>
      <c r="K5" s="4">
        <f ca="1">'Profit and Loss'!K9</f>
        <v>24472226.146032099</v>
      </c>
      <c r="L5" s="4">
        <f ca="1">'Profit and Loss'!L9</f>
        <v>25062719.109733261</v>
      </c>
      <c r="M5" s="4">
        <f ca="1">'Profit and Loss'!M9</f>
        <v>25736185.911221504</v>
      </c>
      <c r="N5" s="4">
        <f ca="1">'Profit and Loss'!N9</f>
        <v>26503469.616007775</v>
      </c>
      <c r="O5" s="4">
        <f ca="1">'Profit and Loss'!O9</f>
        <v>27376451.16441258</v>
      </c>
      <c r="P5" s="4">
        <f ca="1">'Profit and Loss'!P9</f>
        <v>28368132.69065332</v>
      </c>
      <c r="Q5" s="4">
        <f ca="1">'Profit and Loss'!Q9</f>
        <v>28705693.842347987</v>
      </c>
      <c r="R5" s="4">
        <f ca="1">'Profit and Loss'!R9</f>
        <v>29073922.887377225</v>
      </c>
      <c r="S5" s="4">
        <f ca="1">'Profit and Loss'!S9</f>
        <v>29477878.00411002</v>
      </c>
      <c r="T5" s="4">
        <f ca="1">'Profit and Loss'!T9</f>
        <v>29923129.754702702</v>
      </c>
      <c r="U5" s="4">
        <f ca="1">'Profit and Loss'!U9</f>
        <v>30415801.476181559</v>
      </c>
      <c r="V5" s="4">
        <f ca="1">'Profit and Loss'!V9</f>
        <v>30962612.444449969</v>
      </c>
      <c r="W5" s="4">
        <f ca="1">'Profit and Loss'!W9</f>
        <v>31570923.986234911</v>
      </c>
      <c r="X5" s="4">
        <f ca="1">'Profit and Loss'!X9</f>
        <v>32248788.724449076</v>
      </c>
      <c r="Y5" s="4">
        <f ca="1">'Profit and Loss'!Y9</f>
        <v>33005003.153505415</v>
      </c>
      <c r="Z5" s="4">
        <f ca="1">'Profit and Loss'!Z9</f>
        <v>33849163.75282006</v>
      </c>
      <c r="AA5" s="4">
        <f ca="1">'Profit and Loss'!AA9</f>
        <v>34791726.859109089</v>
      </c>
      <c r="AB5" s="4">
        <f ca="1">'Profit and Loss'!AB9</f>
        <v>35844072.531164624</v>
      </c>
      <c r="AC5" s="4">
        <f ca="1">'Profit and Loss'!AC9</f>
        <v>37018572.654624701</v>
      </c>
      <c r="AD5" s="4">
        <f ca="1">'Profit and Loss'!AD9</f>
        <v>38328663.548870489</v>
      </c>
      <c r="AE5" s="4">
        <f ca="1">'Profit and Loss'!AE9</f>
        <v>39788923.353642046</v>
      </c>
      <c r="AF5" s="4">
        <f ca="1">'Profit and Loss'!AF9</f>
        <v>41415154.489298008</v>
      </c>
      <c r="AG5" s="4"/>
      <c r="AH5" s="4"/>
      <c r="AI5" s="4"/>
      <c r="AJ5" s="4"/>
      <c r="AK5" s="4"/>
      <c r="AL5" s="4"/>
      <c r="AM5" s="4"/>
      <c r="AN5" s="4"/>
      <c r="AO5" s="4"/>
      <c r="AP5" s="4"/>
    </row>
    <row r="6" spans="1:42" x14ac:dyDescent="0.35">
      <c r="A6" t="s">
        <v>21</v>
      </c>
      <c r="C6" s="4">
        <f>Depreciation!C8+Depreciation!C9</f>
        <v>7269804.5827161884</v>
      </c>
      <c r="D6" s="4">
        <f>Depreciation!D8+Depreciation!D9</f>
        <v>8160856.5989911612</v>
      </c>
      <c r="E6" s="4">
        <f>Depreciation!E8+Depreciation!E9</f>
        <v>9101491.6644150298</v>
      </c>
      <c r="F6" s="4">
        <f>Depreciation!F8+Depreciation!F9</f>
        <v>10093970.656868661</v>
      </c>
      <c r="G6" s="4">
        <f>Depreciation!G8+Depreciation!G9</f>
        <v>11140648.377374962</v>
      </c>
      <c r="H6" s="4">
        <f>Depreciation!H8+Depreciation!H9</f>
        <v>12243977.246041033</v>
      </c>
      <c r="I6" s="4">
        <f>Depreciation!I8+Depreciation!I9</f>
        <v>13406511.138363298</v>
      </c>
      <c r="J6" s="4">
        <f>Depreciation!J8+Depreciation!J9</f>
        <v>14630909.367094247</v>
      </c>
      <c r="K6" s="4">
        <f>Depreciation!K8+Depreciation!K9</f>
        <v>15919940.815058293</v>
      </c>
      <c r="L6" s="4">
        <f>Depreciation!L8+Depreciation!L9</f>
        <v>17276488.224500127</v>
      </c>
      <c r="M6" s="4">
        <f>Depreciation!M8+Depreciation!M9</f>
        <v>18703552.648751624</v>
      </c>
      <c r="N6" s="4">
        <f>Depreciation!N8+Depreciation!N9</f>
        <v>20204258.072213329</v>
      </c>
      <c r="O6" s="4">
        <f>Depreciation!O8+Depreciation!O9</f>
        <v>21781856.204864264</v>
      </c>
      <c r="P6" s="4">
        <f>Depreciation!P8+Depreciation!P9</f>
        <v>23439731.457738906</v>
      </c>
      <c r="Q6" s="4">
        <f>Depreciation!Q8+Depreciation!Q9</f>
        <v>25181406.106043741</v>
      </c>
      <c r="R6" s="4">
        <f>Depreciation!R8+Depreciation!R9</f>
        <v>27010545.64682737</v>
      </c>
      <c r="S6" s="4">
        <f>Depreciation!S8+Depreciation!S9</f>
        <v>28930964.358368561</v>
      </c>
      <c r="T6" s="4">
        <f>Depreciation!T8+Depreciation!T9</f>
        <v>30946631.068706032</v>
      </c>
      <c r="U6" s="4">
        <f>Depreciation!U8+Depreciation!U9</f>
        <v>33061675.141002133</v>
      </c>
      <c r="V6" s="4">
        <f>Depreciation!V8+Depreciation!V9</f>
        <v>35280392.683710843</v>
      </c>
      <c r="W6" s="4">
        <f>Depreciation!W8+Depreciation!W9</f>
        <v>37607252.993808508</v>
      </c>
      <c r="X6" s="4">
        <f>Depreciation!X8+Depreciation!X9</f>
        <v>40046905.241644301</v>
      </c>
      <c r="Y6" s="4">
        <f>Depreciation!Y8+Depreciation!Y9</f>
        <v>42604185.406275928</v>
      </c>
      <c r="Z6" s="4">
        <f>Depreciation!Z8+Depreciation!Z9</f>
        <v>45284123.470476545</v>
      </c>
      <c r="AA6" s="4">
        <f>Depreciation!AA8+Depreciation!AA9</f>
        <v>48091950.88492997</v>
      </c>
      <c r="AB6" s="4">
        <f>Depreciation!AB8+Depreciation!AB9</f>
        <v>51033108.311474651</v>
      </c>
      <c r="AC6" s="4">
        <f>Depreciation!AC8+Depreciation!AC9</f>
        <v>54113253.655612007</v>
      </c>
      <c r="AD6" s="4">
        <f>Depreciation!AD8+Depreciation!AD9</f>
        <v>57338270.398863226</v>
      </c>
      <c r="AE6" s="4">
        <f>Depreciation!AE8+Depreciation!AE9</f>
        <v>60714276.241939165</v>
      </c>
      <c r="AF6" s="4">
        <f>Depreciation!AF8+Depreciation!AF9</f>
        <v>64247632.070083514</v>
      </c>
      <c r="AG6" s="4"/>
      <c r="AH6" s="4"/>
      <c r="AI6" s="4"/>
      <c r="AJ6" s="4"/>
      <c r="AK6" s="4"/>
      <c r="AL6" s="4"/>
      <c r="AM6" s="4"/>
      <c r="AN6" s="4"/>
      <c r="AO6" s="4"/>
      <c r="AP6" s="4"/>
    </row>
    <row r="7" spans="1:42" x14ac:dyDescent="0.35">
      <c r="A7" t="s">
        <v>23</v>
      </c>
      <c r="C7" s="4">
        <f ca="1">C6+C5</f>
        <v>10328979.79243849</v>
      </c>
      <c r="D7" s="4">
        <f ca="1">D6+D5</f>
        <v>16074332.244416032</v>
      </c>
      <c r="E7" s="4">
        <f t="shared" ref="E7:AF7" ca="1" si="1">E6+E5</f>
        <v>21353791.486295357</v>
      </c>
      <c r="F7" s="4">
        <f t="shared" ca="1" si="1"/>
        <v>26436786.465083763</v>
      </c>
      <c r="G7" s="4">
        <f ca="1">G6+G5</f>
        <v>30030649.881283492</v>
      </c>
      <c r="H7" s="4">
        <f t="shared" ca="1" si="1"/>
        <v>32697796.697886478</v>
      </c>
      <c r="I7" s="4">
        <f t="shared" ca="1" si="1"/>
        <v>35746473.013597518</v>
      </c>
      <c r="J7" s="4">
        <f t="shared" ca="1" si="1"/>
        <v>38585733.535826139</v>
      </c>
      <c r="K7" s="4">
        <f t="shared" ca="1" si="1"/>
        <v>40392166.961090393</v>
      </c>
      <c r="L7" s="4">
        <f t="shared" ca="1" si="1"/>
        <v>42339207.334233388</v>
      </c>
      <c r="M7" s="4">
        <f t="shared" ca="1" si="1"/>
        <v>44439738.559973128</v>
      </c>
      <c r="N7" s="4">
        <f t="shared" ca="1" si="1"/>
        <v>46707727.688221104</v>
      </c>
      <c r="O7" s="4">
        <f t="shared" ca="1" si="1"/>
        <v>49158307.369276844</v>
      </c>
      <c r="P7" s="4">
        <f t="shared" ca="1" si="1"/>
        <v>51807864.14839223</v>
      </c>
      <c r="Q7" s="4">
        <f t="shared" ca="1" si="1"/>
        <v>53887099.948391728</v>
      </c>
      <c r="R7" s="4">
        <f t="shared" ca="1" si="1"/>
        <v>56084468.534204595</v>
      </c>
      <c r="S7" s="4">
        <f t="shared" ca="1" si="1"/>
        <v>58408842.362478584</v>
      </c>
      <c r="T7" s="4">
        <f t="shared" ca="1" si="1"/>
        <v>60869760.823408738</v>
      </c>
      <c r="U7" s="4">
        <f t="shared" ca="1" si="1"/>
        <v>63477476.617183693</v>
      </c>
      <c r="V7" s="4">
        <f t="shared" ca="1" si="1"/>
        <v>66243005.128160812</v>
      </c>
      <c r="W7" s="4">
        <f t="shared" ca="1" si="1"/>
        <v>69178176.980043411</v>
      </c>
      <c r="X7" s="4">
        <f t="shared" ca="1" si="1"/>
        <v>72295693.966093376</v>
      </c>
      <c r="Y7" s="4">
        <f t="shared" ca="1" si="1"/>
        <v>75609188.559781343</v>
      </c>
      <c r="Z7" s="4">
        <f t="shared" ca="1" si="1"/>
        <v>79133287.223296613</v>
      </c>
      <c r="AA7" s="4">
        <f t="shared" ca="1" si="1"/>
        <v>82883677.744039059</v>
      </c>
      <c r="AB7" s="4">
        <f t="shared" ca="1" si="1"/>
        <v>86877180.842639267</v>
      </c>
      <c r="AC7" s="4">
        <f t="shared" ca="1" si="1"/>
        <v>91131826.310236707</v>
      </c>
      <c r="AD7" s="4">
        <f t="shared" ca="1" si="1"/>
        <v>95666933.947733715</v>
      </c>
      <c r="AE7" s="4">
        <f t="shared" ca="1" si="1"/>
        <v>100503199.5955812</v>
      </c>
      <c r="AF7" s="4">
        <f t="shared" ca="1" si="1"/>
        <v>105662786.55938151</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33853229.551549152</v>
      </c>
      <c r="D10" s="9">
        <f>Investment!D25</f>
        <v>35594951.16682677</v>
      </c>
      <c r="E10" s="9">
        <f>Investment!E25</f>
        <v>37413477.258421376</v>
      </c>
      <c r="F10" s="9">
        <f>Investment!F25</f>
        <v>39311939.789883211</v>
      </c>
      <c r="G10" s="9">
        <f>Investment!G25</f>
        <v>41293592.52264598</v>
      </c>
      <c r="H10" s="9">
        <f>Investment!H25</f>
        <v>43361815.603960723</v>
      </c>
      <c r="I10" s="9">
        <f>Investment!I25</f>
        <v>45520120.323736414</v>
      </c>
      <c r="J10" s="9">
        <f>Investment!J25</f>
        <v>47772154.046399303</v>
      </c>
      <c r="K10" s="9">
        <f>Investment!K25</f>
        <v>50121705.324101128</v>
      </c>
      <c r="L10" s="9">
        <f>Investment!L25</f>
        <v>52572709.197832316</v>
      </c>
      <c r="M10" s="9">
        <f>Investment!M25</f>
        <v>55129252.693230443</v>
      </c>
      <c r="N10" s="9">
        <f>Investment!N25</f>
        <v>57795580.518115476</v>
      </c>
      <c r="O10" s="9">
        <f>Investment!O25</f>
        <v>60576100.969035283</v>
      </c>
      <c r="P10" s="9">
        <f>Investment!P25</f>
        <v>63475392.054363392</v>
      </c>
      <c r="Q10" s="9">
        <f>Investment!Q25</f>
        <v>66498207.841760196</v>
      </c>
      <c r="R10" s="9">
        <f>Investment!R25</f>
        <v>69649485.038086772</v>
      </c>
      <c r="S10" s="9">
        <f>Investment!S25</f>
        <v>72934349.810148269</v>
      </c>
      <c r="T10" s="9">
        <f>Investment!T25</f>
        <v>76358124.854942679</v>
      </c>
      <c r="U10" s="9">
        <f>Investment!U25</f>
        <v>79926336.728398338</v>
      </c>
      <c r="V10" s="9">
        <f>Investment!V25</f>
        <v>83644723.44190374</v>
      </c>
      <c r="W10" s="9">
        <f>Investment!W25</f>
        <v>87519242.336263582</v>
      </c>
      <c r="X10" s="9">
        <f>Investment!X25</f>
        <v>91556078.243057922</v>
      </c>
      <c r="Y10" s="9">
        <f>Investment!Y25</f>
        <v>95761651.94373478</v>
      </c>
      <c r="Z10" s="9">
        <f>Investment!Z25</f>
        <v>100142628.93713409</v>
      </c>
      <c r="AA10" s="9">
        <f>Investment!AA25</f>
        <v>104705928.52652058</v>
      </c>
      <c r="AB10" s="9">
        <f>Investment!AB25</f>
        <v>109458733.23759612</v>
      </c>
      <c r="AC10" s="9">
        <f>Investment!AC25</f>
        <v>114408498.57936938</v>
      </c>
      <c r="AD10" s="9">
        <f>Investment!AD25</f>
        <v>119562963.16018084</v>
      </c>
      <c r="AE10" s="9">
        <f>Investment!AE25</f>
        <v>124930159.17161894</v>
      </c>
      <c r="AF10" s="9">
        <f>Investment!AF25</f>
        <v>130518423.25351304</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-23524249.759110659</v>
      </c>
      <c r="D12" s="1">
        <f t="shared" ref="D12:AF12" ca="1" si="2">D7-D9-D10</f>
        <v>-19520618.922410738</v>
      </c>
      <c r="E12" s="1">
        <f ca="1">E7-E9-E10</f>
        <v>-16059685.772126019</v>
      </c>
      <c r="F12" s="1">
        <f t="shared" ca="1" si="2"/>
        <v>-12875153.324799448</v>
      </c>
      <c r="G12" s="1">
        <f ca="1">G7-G9-G10</f>
        <v>-11262942.641362488</v>
      </c>
      <c r="H12" s="1">
        <f t="shared" ca="1" si="2"/>
        <v>-10664018.906074245</v>
      </c>
      <c r="I12" s="1">
        <f t="shared" ca="1" si="2"/>
        <v>-9773647.3101388961</v>
      </c>
      <c r="J12" s="1">
        <f t="shared" ca="1" si="2"/>
        <v>-9186420.5105731636</v>
      </c>
      <c r="K12" s="1">
        <f t="shared" ca="1" si="2"/>
        <v>-9729538.3630107343</v>
      </c>
      <c r="L12" s="1">
        <f t="shared" ca="1" si="2"/>
        <v>-10233501.863598928</v>
      </c>
      <c r="M12" s="1">
        <f t="shared" ca="1" si="2"/>
        <v>-10689514.133257315</v>
      </c>
      <c r="N12" s="1">
        <f t="shared" ca="1" si="2"/>
        <v>-11087852.829894371</v>
      </c>
      <c r="O12" s="1">
        <f t="shared" ca="1" si="2"/>
        <v>-11417793.599758439</v>
      </c>
      <c r="P12" s="1">
        <f t="shared" ca="1" si="2"/>
        <v>-11667527.905971162</v>
      </c>
      <c r="Q12" s="1">
        <f t="shared" ca="1" si="2"/>
        <v>-12611107.893368468</v>
      </c>
      <c r="R12" s="1">
        <f t="shared" ca="1" si="2"/>
        <v>-13565016.503882177</v>
      </c>
      <c r="S12" s="1">
        <f t="shared" ca="1" si="2"/>
        <v>-14525507.447669685</v>
      </c>
      <c r="T12" s="1">
        <f t="shared" ca="1" si="2"/>
        <v>-15488364.031533942</v>
      </c>
      <c r="U12" s="1">
        <f t="shared" ca="1" si="2"/>
        <v>-16448860.111214645</v>
      </c>
      <c r="V12" s="1">
        <f t="shared" ca="1" si="2"/>
        <v>-17401718.313742928</v>
      </c>
      <c r="W12" s="1">
        <f t="shared" ca="1" si="2"/>
        <v>-18341065.356220171</v>
      </c>
      <c r="X12" s="1">
        <f t="shared" ca="1" si="2"/>
        <v>-19260384.276964545</v>
      </c>
      <c r="Y12" s="1">
        <f t="shared" ca="1" si="2"/>
        <v>-20152463.383953437</v>
      </c>
      <c r="Z12" s="1">
        <f t="shared" ca="1" si="2"/>
        <v>-21009341.713837475</v>
      </c>
      <c r="AA12" s="1">
        <f t="shared" ca="1" si="2"/>
        <v>-21822250.782481521</v>
      </c>
      <c r="AB12" s="1">
        <f t="shared" ca="1" si="2"/>
        <v>-22581552.394956857</v>
      </c>
      <c r="AC12" s="1">
        <f t="shared" ca="1" si="2"/>
        <v>-23276672.269132674</v>
      </c>
      <c r="AD12" s="1">
        <f t="shared" ca="1" si="2"/>
        <v>-23896029.212447122</v>
      </c>
      <c r="AE12" s="1">
        <f t="shared" ca="1" si="2"/>
        <v>-24426959.576037735</v>
      </c>
      <c r="AF12" s="1">
        <f t="shared" ca="1" si="2"/>
        <v>-24855636.694131523</v>
      </c>
      <c r="AG12" s="1"/>
      <c r="AH12" s="1"/>
      <c r="AI12" s="1"/>
      <c r="AJ12" s="1"/>
      <c r="AK12" s="1"/>
      <c r="AL12" s="1"/>
      <c r="AM12" s="1"/>
      <c r="AN12" s="1"/>
      <c r="AO12" s="1"/>
      <c r="AP12" s="1"/>
    </row>
    <row r="13" spans="1:42" x14ac:dyDescent="0.35">
      <c r="A13" t="s">
        <v>19</v>
      </c>
      <c r="C13" s="1">
        <f ca="1">C12</f>
        <v>-23524249.759110659</v>
      </c>
      <c r="D13" s="1">
        <f ca="1">D12</f>
        <v>-19520618.922410738</v>
      </c>
      <c r="E13" s="1">
        <f ca="1">E12</f>
        <v>-16059685.772126019</v>
      </c>
      <c r="F13" s="1">
        <f t="shared" ref="F13:AF13" ca="1" si="3">F12</f>
        <v>-12875153.324799448</v>
      </c>
      <c r="G13" s="1">
        <f ca="1">G12</f>
        <v>-11262942.641362488</v>
      </c>
      <c r="H13" s="1">
        <f t="shared" ca="1" si="3"/>
        <v>-10664018.906074245</v>
      </c>
      <c r="I13" s="1">
        <f t="shared" ca="1" si="3"/>
        <v>-9773647.3101388961</v>
      </c>
      <c r="J13" s="1">
        <f t="shared" ca="1" si="3"/>
        <v>-9186420.5105731636</v>
      </c>
      <c r="K13" s="1">
        <f t="shared" ca="1" si="3"/>
        <v>-9729538.3630107343</v>
      </c>
      <c r="L13" s="1">
        <f t="shared" ca="1" si="3"/>
        <v>-10233501.863598928</v>
      </c>
      <c r="M13" s="1">
        <f t="shared" ca="1" si="3"/>
        <v>-10689514.133257315</v>
      </c>
      <c r="N13" s="1">
        <f t="shared" ca="1" si="3"/>
        <v>-11087852.829894371</v>
      </c>
      <c r="O13" s="1">
        <f t="shared" ca="1" si="3"/>
        <v>-11417793.599758439</v>
      </c>
      <c r="P13" s="1">
        <f t="shared" ca="1" si="3"/>
        <v>-11667527.905971162</v>
      </c>
      <c r="Q13" s="1">
        <f t="shared" ca="1" si="3"/>
        <v>-12611107.893368468</v>
      </c>
      <c r="R13" s="1">
        <f t="shared" ca="1" si="3"/>
        <v>-13565016.503882177</v>
      </c>
      <c r="S13" s="1">
        <f t="shared" ca="1" si="3"/>
        <v>-14525507.447669685</v>
      </c>
      <c r="T13" s="1">
        <f t="shared" ca="1" si="3"/>
        <v>-15488364.031533942</v>
      </c>
      <c r="U13" s="1">
        <f t="shared" ca="1" si="3"/>
        <v>-16448860.111214645</v>
      </c>
      <c r="V13" s="1">
        <f t="shared" ca="1" si="3"/>
        <v>-17401718.313742928</v>
      </c>
      <c r="W13" s="1">
        <f t="shared" ca="1" si="3"/>
        <v>-18341065.356220171</v>
      </c>
      <c r="X13" s="1">
        <f t="shared" ca="1" si="3"/>
        <v>-19260384.276964545</v>
      </c>
      <c r="Y13" s="1">
        <f t="shared" ca="1" si="3"/>
        <v>-20152463.383953437</v>
      </c>
      <c r="Z13" s="1">
        <f t="shared" ca="1" si="3"/>
        <v>-21009341.713837475</v>
      </c>
      <c r="AA13" s="1">
        <f t="shared" ca="1" si="3"/>
        <v>-21822250.782481521</v>
      </c>
      <c r="AB13" s="1">
        <f t="shared" ca="1" si="3"/>
        <v>-22581552.394956857</v>
      </c>
      <c r="AC13" s="1">
        <f t="shared" ca="1" si="3"/>
        <v>-23276672.269132674</v>
      </c>
      <c r="AD13" s="1">
        <f t="shared" ca="1" si="3"/>
        <v>-23896029.212447122</v>
      </c>
      <c r="AE13" s="1">
        <f t="shared" ca="1" si="3"/>
        <v>-24426959.576037735</v>
      </c>
      <c r="AF13" s="1">
        <f t="shared" ca="1" si="3"/>
        <v>-24855636.694131523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438346573.75000006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219173286.87500003</v>
      </c>
      <c r="D7" s="9">
        <f>C12</f>
        <v>226443091.4577162</v>
      </c>
      <c r="E7" s="9">
        <f>D12</f>
        <v>234603948.05670735</v>
      </c>
      <c r="F7" s="9">
        <f t="shared" ref="F7:H7" si="1">E12</f>
        <v>243705439.72112238</v>
      </c>
      <c r="G7" s="9">
        <f t="shared" si="1"/>
        <v>253799410.37799105</v>
      </c>
      <c r="H7" s="9">
        <f t="shared" si="1"/>
        <v>264940058.755366</v>
      </c>
      <c r="I7" s="9">
        <f t="shared" ref="I7" si="2">H12</f>
        <v>277184036.00140703</v>
      </c>
      <c r="J7" s="9">
        <f t="shared" ref="J7" si="3">I12</f>
        <v>290590547.13977033</v>
      </c>
      <c r="K7" s="9">
        <f t="shared" ref="K7" si="4">J12</f>
        <v>305221456.50686461</v>
      </c>
      <c r="L7" s="9">
        <f t="shared" ref="L7" si="5">K12</f>
        <v>321141397.3219229</v>
      </c>
      <c r="M7" s="9">
        <f t="shared" ref="M7" si="6">L12</f>
        <v>338417885.54642302</v>
      </c>
      <c r="N7" s="9">
        <f t="shared" ref="N7" si="7">M12</f>
        <v>357121438.19517463</v>
      </c>
      <c r="O7" s="9">
        <f t="shared" ref="O7" si="8">N12</f>
        <v>377325696.26738799</v>
      </c>
      <c r="P7" s="9">
        <f t="shared" ref="P7" si="9">O12</f>
        <v>399107552.47225225</v>
      </c>
      <c r="Q7" s="9">
        <f t="shared" ref="Q7" si="10">P12</f>
        <v>422547283.92999119</v>
      </c>
      <c r="R7" s="9">
        <f t="shared" ref="R7" si="11">Q12</f>
        <v>447728690.03603488</v>
      </c>
      <c r="S7" s="9">
        <f t="shared" ref="S7" si="12">R12</f>
        <v>474739235.68286228</v>
      </c>
      <c r="T7" s="9">
        <f t="shared" ref="T7" si="13">S12</f>
        <v>503670200.0412308</v>
      </c>
      <c r="U7" s="9">
        <f t="shared" ref="U7" si="14">T12</f>
        <v>534616831.10993683</v>
      </c>
      <c r="V7" s="9">
        <f t="shared" ref="V7" si="15">U12</f>
        <v>567678506.25093901</v>
      </c>
      <c r="W7" s="9">
        <f t="shared" ref="W7" si="16">V12</f>
        <v>602958898.93464983</v>
      </c>
      <c r="X7" s="9">
        <f t="shared" ref="X7" si="17">W12</f>
        <v>640566151.92845833</v>
      </c>
      <c r="Y7" s="9">
        <f t="shared" ref="Y7" si="18">X12</f>
        <v>680613057.1701026</v>
      </c>
      <c r="Z7" s="9">
        <f t="shared" ref="Z7" si="19">Y12</f>
        <v>723217242.57637858</v>
      </c>
      <c r="AA7" s="9">
        <f t="shared" ref="AA7" si="20">Z12</f>
        <v>768501366.04685509</v>
      </c>
      <c r="AB7" s="9">
        <f t="shared" ref="AB7" si="21">AA12</f>
        <v>816593316.93178511</v>
      </c>
      <c r="AC7" s="9">
        <f t="shared" ref="AC7" si="22">AB12</f>
        <v>867626425.24325979</v>
      </c>
      <c r="AD7" s="9">
        <f t="shared" ref="AD7" si="23">AC12</f>
        <v>921739678.89887178</v>
      </c>
      <c r="AE7" s="9">
        <f t="shared" ref="AE7" si="24">AD12</f>
        <v>979077949.29773498</v>
      </c>
      <c r="AF7" s="9">
        <f t="shared" ref="AF7" si="25">AE12</f>
        <v>1039792225.5396742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6631802.3834641976</v>
      </c>
      <c r="D8" s="9">
        <f>Assumptions!E111*Assumptions!E11</f>
        <v>6844020.0597350514</v>
      </c>
      <c r="E8" s="9">
        <f>Assumptions!F111*Assumptions!F11</f>
        <v>7063028.7016465729</v>
      </c>
      <c r="F8" s="9">
        <f>Assumptions!G111*Assumptions!G11</f>
        <v>7289045.6200992633</v>
      </c>
      <c r="G8" s="9">
        <f>Assumptions!H111*Assumptions!H11</f>
        <v>7522295.0799424406</v>
      </c>
      <c r="H8" s="9">
        <f>Assumptions!I111*Assumptions!I11</f>
        <v>7763008.5225005979</v>
      </c>
      <c r="I8" s="9">
        <f>Assumptions!J111*Assumptions!J11</f>
        <v>8011424.7952206153</v>
      </c>
      <c r="J8" s="9">
        <f>Assumptions!K111*Assumptions!K11</f>
        <v>8267790.3886676766</v>
      </c>
      <c r="K8" s="9">
        <f>Assumptions!L111*Assumptions!L11</f>
        <v>8532359.6811050437</v>
      </c>
      <c r="L8" s="9">
        <f>Assumptions!M111*Assumptions!M11</f>
        <v>8805395.190900404</v>
      </c>
      <c r="M8" s="9">
        <f>Assumptions!N111*Assumptions!N11</f>
        <v>9087167.8370092157</v>
      </c>
      <c r="N8" s="9">
        <f>Assumptions!O111*Assumptions!O11</f>
        <v>9377957.2077935115</v>
      </c>
      <c r="O8" s="9">
        <f>Assumptions!P111*Assumptions!P11</f>
        <v>9678051.8384429049</v>
      </c>
      <c r="P8" s="9">
        <f>Assumptions!Q111*Assumptions!Q11</f>
        <v>9987749.4972730763</v>
      </c>
      <c r="Q8" s="9">
        <f>Assumptions!R111*Assumptions!R11</f>
        <v>10307357.481185813</v>
      </c>
      <c r="R8" s="9">
        <f>Assumptions!S111*Assumptions!S11</f>
        <v>10637192.92058376</v>
      </c>
      <c r="S8" s="9">
        <f>Assumptions!T111*Assumptions!T11</f>
        <v>10977583.094042443</v>
      </c>
      <c r="T8" s="9">
        <f>Assumptions!U111*Assumptions!U11</f>
        <v>11328865.753051799</v>
      </c>
      <c r="U8" s="9">
        <f>Assumptions!V111*Assumptions!V11</f>
        <v>11691389.457149455</v>
      </c>
      <c r="V8" s="9">
        <f>Assumptions!W111*Assumptions!W11</f>
        <v>12065513.919778239</v>
      </c>
      <c r="W8" s="9">
        <f>Assumptions!X111*Assumptions!X11</f>
        <v>12451610.365211144</v>
      </c>
      <c r="X8" s="9">
        <f>Assumptions!Y111*Assumptions!Y11</f>
        <v>12850061.896897899</v>
      </c>
      <c r="Y8" s="9">
        <f>Assumptions!Z111*Assumptions!Z11</f>
        <v>13261263.87759863</v>
      </c>
      <c r="Z8" s="9">
        <f>Assumptions!AA111*Assumptions!AA11</f>
        <v>13685624.321681786</v>
      </c>
      <c r="AA8" s="9">
        <f>Assumptions!AB111*Assumptions!AB11</f>
        <v>14123564.299975608</v>
      </c>
      <c r="AB8" s="9">
        <f>Assumptions!AC111*Assumptions!AC11</f>
        <v>14575518.357574824</v>
      </c>
      <c r="AC8" s="9">
        <f>Assumptions!AD111*Assumptions!AD11</f>
        <v>15041934.945017217</v>
      </c>
      <c r="AD8" s="9">
        <f>Assumptions!AE111*Assumptions!AE11</f>
        <v>15523276.863257769</v>
      </c>
      <c r="AE8" s="9">
        <f>Assumptions!AF111*Assumptions!AF11</f>
        <v>16020021.722882017</v>
      </c>
      <c r="AF8" s="9">
        <f>Assumptions!AG111*Assumptions!AG11</f>
        <v>16532662.41801424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638002.199251991</v>
      </c>
      <c r="D9" s="9">
        <f>Assumptions!E120*Assumptions!E11</f>
        <v>1316836.5392561094</v>
      </c>
      <c r="E9" s="9">
        <f>Assumptions!F120*Assumptions!F11</f>
        <v>2038462.9627684574</v>
      </c>
      <c r="F9" s="9">
        <f>Assumptions!G120*Assumptions!G11</f>
        <v>2804925.0367693971</v>
      </c>
      <c r="G9" s="9">
        <f>Assumptions!H120*Assumptions!H11</f>
        <v>3618353.2974325218</v>
      </c>
      <c r="H9" s="9">
        <f>Assumptions!I120*Assumptions!I11</f>
        <v>4480968.7235404346</v>
      </c>
      <c r="I9" s="9">
        <f>Assumptions!J120*Assumptions!J11</f>
        <v>5395086.3431426827</v>
      </c>
      <c r="J9" s="9">
        <f>Assumptions!K120*Assumptions!K11</f>
        <v>6363118.9784265701</v>
      </c>
      <c r="K9" s="9">
        <f>Assumptions!L120*Assumptions!L11</f>
        <v>7387581.1339532491</v>
      </c>
      <c r="L9" s="9">
        <f>Assumptions!M120*Assumptions!M11</f>
        <v>8471093.0335997231</v>
      </c>
      <c r="M9" s="9">
        <f>Assumptions!N120*Assumptions!N11</f>
        <v>9616384.8117424082</v>
      </c>
      <c r="N9" s="9">
        <f>Assumptions!O120*Assumptions!O11</f>
        <v>10826300.864419816</v>
      </c>
      <c r="O9" s="9">
        <f>Assumptions!P120*Assumptions!P11</f>
        <v>12103804.366421357</v>
      </c>
      <c r="P9" s="9">
        <f>Assumptions!Q120*Assumptions!Q11</f>
        <v>13451981.960465828</v>
      </c>
      <c r="Q9" s="9">
        <f>Assumptions!R120*Assumptions!R11</f>
        <v>14874048.624857927</v>
      </c>
      <c r="R9" s="9">
        <f>Assumptions!S120*Assumptions!S11</f>
        <v>16373352.726243611</v>
      </c>
      <c r="S9" s="9">
        <f>Assumptions!T120*Assumptions!T11</f>
        <v>17953381.264326118</v>
      </c>
      <c r="T9" s="9">
        <f>Assumptions!U120*Assumptions!U11</f>
        <v>19617765.315654233</v>
      </c>
      <c r="U9" s="9">
        <f>Assumptions!V120*Assumptions!V11</f>
        <v>21370285.683852676</v>
      </c>
      <c r="V9" s="9">
        <f>Assumptions!W120*Assumptions!W11</f>
        <v>23214878.763932601</v>
      </c>
      <c r="W9" s="9">
        <f>Assumptions!X120*Assumptions!X11</f>
        <v>25155642.628597364</v>
      </c>
      <c r="X9" s="9">
        <f>Assumptions!Y120*Assumptions!Y11</f>
        <v>27196843.3447464</v>
      </c>
      <c r="Y9" s="9">
        <f>Assumptions!Z120*Assumptions!Z11</f>
        <v>29342921.528677296</v>
      </c>
      <c r="Z9" s="9">
        <f>Assumptions!AA120*Assumptions!AA11</f>
        <v>31598499.148794759</v>
      </c>
      <c r="AA9" s="9">
        <f>Assumptions!AB120*Assumptions!AB11</f>
        <v>33968386.584954366</v>
      </c>
      <c r="AB9" s="9">
        <f>Assumptions!AC120*Assumptions!AC11</f>
        <v>36457589.953899823</v>
      </c>
      <c r="AC9" s="9">
        <f>Assumptions!AD120*Assumptions!AD11</f>
        <v>39071318.710594788</v>
      </c>
      <c r="AD9" s="9">
        <f>Assumptions!AE120*Assumptions!AE11</f>
        <v>41814993.535605453</v>
      </c>
      <c r="AE9" s="9">
        <f>Assumptions!AF120*Assumptions!AF11</f>
        <v>44694254.519057147</v>
      </c>
      <c r="AF9" s="9">
        <f>Assumptions!AG120*Assumptions!AG11</f>
        <v>47714969.652069278</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7269804.5827161884</v>
      </c>
      <c r="D10" s="9">
        <f>SUM($C$8:D9)</f>
        <v>15430661.181707349</v>
      </c>
      <c r="E10" s="9">
        <f>SUM($C$8:E9)</f>
        <v>24532152.84612238</v>
      </c>
      <c r="F10" s="9">
        <f>SUM($C$8:F9)</f>
        <v>34626123.502991036</v>
      </c>
      <c r="G10" s="9">
        <f>SUM($C$8:G9)</f>
        <v>45766771.880366005</v>
      </c>
      <c r="H10" s="9">
        <f>SUM($C$8:H9)</f>
        <v>58010749.126407035</v>
      </c>
      <c r="I10" s="9">
        <f>SUM($C$8:I9)</f>
        <v>71417260.264770329</v>
      </c>
      <c r="J10" s="9">
        <f>SUM($C$8:J9)</f>
        <v>86048169.631864607</v>
      </c>
      <c r="K10" s="9">
        <f>SUM($C$8:K9)</f>
        <v>101968110.44692288</v>
      </c>
      <c r="L10" s="9">
        <f>SUM($C$8:L9)</f>
        <v>119244598.671423</v>
      </c>
      <c r="M10" s="9">
        <f>SUM($C$8:M9)</f>
        <v>137948151.32017463</v>
      </c>
      <c r="N10" s="9">
        <f>SUM($C$8:N9)</f>
        <v>158152409.39238796</v>
      </c>
      <c r="O10" s="9">
        <f>SUM($C$8:O9)</f>
        <v>179934265.59725225</v>
      </c>
      <c r="P10" s="9">
        <f>SUM($C$8:P9)</f>
        <v>203373997.0549911</v>
      </c>
      <c r="Q10" s="9">
        <f>SUM($C$8:Q9)</f>
        <v>228555403.16103482</v>
      </c>
      <c r="R10" s="9">
        <f>SUM($C$8:R9)</f>
        <v>255565948.80786222</v>
      </c>
      <c r="S10" s="9">
        <f>SUM($C$8:S9)</f>
        <v>284496913.16623074</v>
      </c>
      <c r="T10" s="9">
        <f>SUM($C$8:T9)</f>
        <v>315443544.23493677</v>
      </c>
      <c r="U10" s="9">
        <f>SUM($C$8:U9)</f>
        <v>348505219.37593889</v>
      </c>
      <c r="V10" s="9">
        <f>SUM($C$8:V9)</f>
        <v>383785612.05964971</v>
      </c>
      <c r="W10" s="9">
        <f>SUM($C$8:W9)</f>
        <v>421392865.05345821</v>
      </c>
      <c r="X10" s="9">
        <f>SUM($C$8:X9)</f>
        <v>461439770.29510248</v>
      </c>
      <c r="Y10" s="9">
        <f>SUM($C$8:Y9)</f>
        <v>504043955.70137846</v>
      </c>
      <c r="Z10" s="9">
        <f>SUM($C$8:Z9)</f>
        <v>549328079.17185497</v>
      </c>
      <c r="AA10" s="9">
        <f>SUM($C$8:AA9)</f>
        <v>597420030.05678499</v>
      </c>
      <c r="AB10" s="9">
        <f>SUM($C$8:AB9)</f>
        <v>648453138.36825979</v>
      </c>
      <c r="AC10" s="9">
        <f>SUM($C$8:AC9)</f>
        <v>702566392.02387178</v>
      </c>
      <c r="AD10" s="9">
        <f>SUM($C$8:AD9)</f>
        <v>759904662.42273498</v>
      </c>
      <c r="AE10" s="9">
        <f>SUM($C$8:AE9)</f>
        <v>820618938.66467416</v>
      </c>
      <c r="AF10" s="9">
        <f>SUM($C$8:AF9)</f>
        <v>884866570.73475766</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226443091.4577162</v>
      </c>
      <c r="D12" s="9">
        <f>D7+D8+D9</f>
        <v>234603948.05670735</v>
      </c>
      <c r="E12" s="9">
        <f>E7+E8+E9</f>
        <v>243705439.72112238</v>
      </c>
      <c r="F12" s="9">
        <f t="shared" ref="F12:H12" si="26">F7+F8+F9</f>
        <v>253799410.37799105</v>
      </c>
      <c r="G12" s="9">
        <f t="shared" si="26"/>
        <v>264940058.755366</v>
      </c>
      <c r="H12" s="9">
        <f t="shared" si="26"/>
        <v>277184036.00140703</v>
      </c>
      <c r="I12" s="9">
        <f t="shared" ref="I12:AF12" si="27">I7+I8+I9</f>
        <v>290590547.13977033</v>
      </c>
      <c r="J12" s="9">
        <f t="shared" si="27"/>
        <v>305221456.50686461</v>
      </c>
      <c r="K12" s="9">
        <f t="shared" si="27"/>
        <v>321141397.3219229</v>
      </c>
      <c r="L12" s="9">
        <f t="shared" si="27"/>
        <v>338417885.54642302</v>
      </c>
      <c r="M12" s="9">
        <f t="shared" si="27"/>
        <v>357121438.19517463</v>
      </c>
      <c r="N12" s="9">
        <f t="shared" si="27"/>
        <v>377325696.26738799</v>
      </c>
      <c r="O12" s="9">
        <f t="shared" si="27"/>
        <v>399107552.47225225</v>
      </c>
      <c r="P12" s="9">
        <f t="shared" si="27"/>
        <v>422547283.92999119</v>
      </c>
      <c r="Q12" s="9">
        <f t="shared" si="27"/>
        <v>447728690.03603488</v>
      </c>
      <c r="R12" s="9">
        <f t="shared" si="27"/>
        <v>474739235.68286228</v>
      </c>
      <c r="S12" s="9">
        <f t="shared" si="27"/>
        <v>503670200.0412308</v>
      </c>
      <c r="T12" s="9">
        <f t="shared" si="27"/>
        <v>534616831.10993683</v>
      </c>
      <c r="U12" s="9">
        <f t="shared" si="27"/>
        <v>567678506.25093901</v>
      </c>
      <c r="V12" s="9">
        <f t="shared" si="27"/>
        <v>602958898.93464983</v>
      </c>
      <c r="W12" s="9">
        <f t="shared" si="27"/>
        <v>640566151.92845833</v>
      </c>
      <c r="X12" s="9">
        <f t="shared" si="27"/>
        <v>680613057.1701026</v>
      </c>
      <c r="Y12" s="9">
        <f t="shared" si="27"/>
        <v>723217242.57637858</v>
      </c>
      <c r="Z12" s="9">
        <f t="shared" si="27"/>
        <v>768501366.04685509</v>
      </c>
      <c r="AA12" s="9">
        <f t="shared" si="27"/>
        <v>816593316.93178511</v>
      </c>
      <c r="AB12" s="9">
        <f t="shared" si="27"/>
        <v>867626425.24325979</v>
      </c>
      <c r="AC12" s="9">
        <f t="shared" si="27"/>
        <v>921739678.89887178</v>
      </c>
      <c r="AD12" s="9">
        <f t="shared" si="27"/>
        <v>979077949.29773498</v>
      </c>
      <c r="AE12" s="9">
        <f t="shared" si="27"/>
        <v>1039792225.5396742</v>
      </c>
      <c r="AF12" s="9">
        <f t="shared" si="27"/>
        <v>1104039857.6097577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33853229.551549152</v>
      </c>
      <c r="D18" s="9">
        <f>Investment!D25</f>
        <v>35594951.16682677</v>
      </c>
      <c r="E18" s="9">
        <f>Investment!E25</f>
        <v>37413477.258421376</v>
      </c>
      <c r="F18" s="9">
        <f>Investment!F25</f>
        <v>39311939.789883211</v>
      </c>
      <c r="G18" s="9">
        <f>Investment!G25</f>
        <v>41293592.52264598</v>
      </c>
      <c r="H18" s="9">
        <f>Investment!H25</f>
        <v>43361815.603960723</v>
      </c>
      <c r="I18" s="9">
        <f>Investment!I25</f>
        <v>45520120.323736414</v>
      </c>
      <c r="J18" s="9">
        <f>Investment!J25</f>
        <v>47772154.046399303</v>
      </c>
      <c r="K18" s="9">
        <f>Investment!K25</f>
        <v>50121705.324101128</v>
      </c>
      <c r="L18" s="9">
        <f>Investment!L25</f>
        <v>52572709.197832316</v>
      </c>
      <c r="M18" s="9">
        <f>Investment!M25</f>
        <v>55129252.693230443</v>
      </c>
      <c r="N18" s="9">
        <f>Investment!N25</f>
        <v>57795580.518115476</v>
      </c>
      <c r="O18" s="9">
        <f>Investment!O25</f>
        <v>60576100.969035283</v>
      </c>
      <c r="P18" s="9">
        <f>Investment!P25</f>
        <v>63475392.054363392</v>
      </c>
      <c r="Q18" s="9">
        <f>Investment!Q25</f>
        <v>66498207.841760196</v>
      </c>
      <c r="R18" s="9">
        <f>Investment!R25</f>
        <v>69649485.038086772</v>
      </c>
      <c r="S18" s="9">
        <f>Investment!S25</f>
        <v>72934349.810148269</v>
      </c>
      <c r="T18" s="9">
        <f>Investment!T25</f>
        <v>76358124.854942679</v>
      </c>
      <c r="U18" s="9">
        <f>Investment!U25</f>
        <v>79926336.728398338</v>
      </c>
      <c r="V18" s="9">
        <f>Investment!V25</f>
        <v>83644723.44190374</v>
      </c>
      <c r="W18" s="9">
        <f>Investment!W25</f>
        <v>87519242.336263582</v>
      </c>
      <c r="X18" s="9">
        <f>Investment!X25</f>
        <v>91556078.243057922</v>
      </c>
      <c r="Y18" s="9">
        <f>Investment!Y25</f>
        <v>95761651.94373478</v>
      </c>
      <c r="Z18" s="9">
        <f>Investment!Z25</f>
        <v>100142628.93713409</v>
      </c>
      <c r="AA18" s="9">
        <f>Investment!AA25</f>
        <v>104705928.52652058</v>
      </c>
      <c r="AB18" s="9">
        <f>Investment!AB25</f>
        <v>109458733.23759612</v>
      </c>
      <c r="AC18" s="9">
        <f>Investment!AC25</f>
        <v>114408498.57936938</v>
      </c>
      <c r="AD18" s="9">
        <f>Investment!AD25</f>
        <v>119562963.16018084</v>
      </c>
      <c r="AE18" s="9">
        <f>Investment!AE25</f>
        <v>124930159.17161894</v>
      </c>
      <c r="AF18" s="9">
        <f>Investment!AF25</f>
        <v>130518423.25351304</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253026516.4265492</v>
      </c>
      <c r="D19" s="9">
        <f>D18+C20</f>
        <v>281351663.01065981</v>
      </c>
      <c r="E19" s="9">
        <f>E18+D20</f>
        <v>310604283.67009002</v>
      </c>
      <c r="F19" s="9">
        <f t="shared" ref="F19:AF19" si="28">F18+E20</f>
        <v>340814731.79555821</v>
      </c>
      <c r="G19" s="9">
        <f t="shared" si="28"/>
        <v>372014353.66133559</v>
      </c>
      <c r="H19" s="9">
        <f t="shared" si="28"/>
        <v>404235520.88792133</v>
      </c>
      <c r="I19" s="9">
        <f t="shared" si="28"/>
        <v>437511663.96561676</v>
      </c>
      <c r="J19" s="9">
        <f t="shared" si="28"/>
        <v>471877306.87365276</v>
      </c>
      <c r="K19" s="9">
        <f t="shared" si="28"/>
        <v>507368102.83065963</v>
      </c>
      <c r="L19" s="9">
        <f t="shared" si="28"/>
        <v>544020871.21343362</v>
      </c>
      <c r="M19" s="9">
        <f t="shared" si="28"/>
        <v>581873635.68216395</v>
      </c>
      <c r="N19" s="9">
        <f t="shared" si="28"/>
        <v>620965663.55152786</v>
      </c>
      <c r="O19" s="9">
        <f t="shared" si="28"/>
        <v>661337506.44834983</v>
      </c>
      <c r="P19" s="9">
        <f t="shared" si="28"/>
        <v>703031042.29784894</v>
      </c>
      <c r="Q19" s="9">
        <f t="shared" si="28"/>
        <v>746089518.68187022</v>
      </c>
      <c r="R19" s="9">
        <f t="shared" si="28"/>
        <v>790557597.6139133</v>
      </c>
      <c r="S19" s="9">
        <f t="shared" si="28"/>
        <v>836481401.7772342</v>
      </c>
      <c r="T19" s="9">
        <f t="shared" si="28"/>
        <v>883908562.27380836</v>
      </c>
      <c r="U19" s="9">
        <f t="shared" si="28"/>
        <v>932888267.93350065</v>
      </c>
      <c r="V19" s="9">
        <f t="shared" si="28"/>
        <v>983471316.23440218</v>
      </c>
      <c r="W19" s="9">
        <f t="shared" si="28"/>
        <v>1035710165.8869549</v>
      </c>
      <c r="X19" s="9">
        <f t="shared" si="28"/>
        <v>1089658991.1362042</v>
      </c>
      <c r="Y19" s="9">
        <f t="shared" si="28"/>
        <v>1145373737.838295</v>
      </c>
      <c r="Z19" s="9">
        <f t="shared" si="28"/>
        <v>1202912181.3691533</v>
      </c>
      <c r="AA19" s="9">
        <f t="shared" si="28"/>
        <v>1262333986.4251974</v>
      </c>
      <c r="AB19" s="9">
        <f t="shared" si="28"/>
        <v>1323700768.7778635</v>
      </c>
      <c r="AC19" s="9">
        <f t="shared" si="28"/>
        <v>1387076159.045758</v>
      </c>
      <c r="AD19" s="9">
        <f t="shared" si="28"/>
        <v>1452525868.5503268</v>
      </c>
      <c r="AE19" s="9">
        <f t="shared" si="28"/>
        <v>1520117757.3230824</v>
      </c>
      <c r="AF19" s="9">
        <f t="shared" si="28"/>
        <v>1589921904.3346565</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245756711.84383303</v>
      </c>
      <c r="D20" s="9">
        <f>D19-D8-D9</f>
        <v>273190806.41166866</v>
      </c>
      <c r="E20" s="9">
        <f t="shared" ref="E20:AF20" si="29">E19-E8-E9</f>
        <v>301502792.00567502</v>
      </c>
      <c r="F20" s="9">
        <f t="shared" si="29"/>
        <v>330720761.13868958</v>
      </c>
      <c r="G20" s="9">
        <f t="shared" si="29"/>
        <v>360873705.28396058</v>
      </c>
      <c r="H20" s="9">
        <f t="shared" si="29"/>
        <v>391991543.64188033</v>
      </c>
      <c r="I20" s="9">
        <f t="shared" si="29"/>
        <v>424105152.82725346</v>
      </c>
      <c r="J20" s="9">
        <f t="shared" si="29"/>
        <v>457246397.50655848</v>
      </c>
      <c r="K20" s="9">
        <f t="shared" si="29"/>
        <v>491448162.01560134</v>
      </c>
      <c r="L20" s="9">
        <f t="shared" si="29"/>
        <v>526744382.9889335</v>
      </c>
      <c r="M20" s="9">
        <f t="shared" si="29"/>
        <v>563170083.03341234</v>
      </c>
      <c r="N20" s="9">
        <f t="shared" si="29"/>
        <v>600761405.47931457</v>
      </c>
      <c r="O20" s="9">
        <f t="shared" si="29"/>
        <v>639555650.24348557</v>
      </c>
      <c r="P20" s="9">
        <f t="shared" si="29"/>
        <v>679591310.84011006</v>
      </c>
      <c r="Q20" s="9">
        <f t="shared" si="29"/>
        <v>720908112.57582653</v>
      </c>
      <c r="R20" s="9">
        <f t="shared" si="29"/>
        <v>763547051.96708596</v>
      </c>
      <c r="S20" s="9">
        <f t="shared" si="29"/>
        <v>807550437.41886568</v>
      </c>
      <c r="T20" s="9">
        <f t="shared" si="29"/>
        <v>852961931.20510232</v>
      </c>
      <c r="U20" s="9">
        <f t="shared" si="29"/>
        <v>899826592.79249847</v>
      </c>
      <c r="V20" s="9">
        <f t="shared" si="29"/>
        <v>948190923.55069137</v>
      </c>
      <c r="W20" s="9">
        <f t="shared" si="29"/>
        <v>998102912.8931464</v>
      </c>
      <c r="X20" s="9">
        <f t="shared" si="29"/>
        <v>1049612085.8945601</v>
      </c>
      <c r="Y20" s="9">
        <f t="shared" si="29"/>
        <v>1102769552.4320192</v>
      </c>
      <c r="Z20" s="9">
        <f t="shared" si="29"/>
        <v>1157628057.8986769</v>
      </c>
      <c r="AA20" s="9">
        <f t="shared" si="29"/>
        <v>1214242035.5402675</v>
      </c>
      <c r="AB20" s="9">
        <f t="shared" si="29"/>
        <v>1272667660.4663887</v>
      </c>
      <c r="AC20" s="9">
        <f t="shared" si="29"/>
        <v>1332962905.390146</v>
      </c>
      <c r="AD20" s="9">
        <f t="shared" si="29"/>
        <v>1395187598.1514635</v>
      </c>
      <c r="AE20" s="9">
        <f t="shared" si="29"/>
        <v>1459403481.0811434</v>
      </c>
      <c r="AF20" s="9">
        <f t="shared" si="29"/>
        <v>1525674272.2645729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50745000</v>
      </c>
      <c r="D22" s="9">
        <f ca="1">'Balance Sheet'!C11</f>
        <v>74269249.759110659</v>
      </c>
      <c r="E22" s="9">
        <f ca="1">'Balance Sheet'!D11</f>
        <v>93789868.681521401</v>
      </c>
      <c r="F22" s="9">
        <f ca="1">'Balance Sheet'!E11</f>
        <v>109849554.45364742</v>
      </c>
      <c r="G22" s="9">
        <f ca="1">'Balance Sheet'!F11</f>
        <v>122724707.77844687</v>
      </c>
      <c r="H22" s="9">
        <f ca="1">'Balance Sheet'!G11</f>
        <v>133987650.41980936</v>
      </c>
      <c r="I22" s="9">
        <f ca="1">'Balance Sheet'!H11</f>
        <v>144651669.3258836</v>
      </c>
      <c r="J22" s="9">
        <f ca="1">'Balance Sheet'!I11</f>
        <v>154425316.63602251</v>
      </c>
      <c r="K22" s="9">
        <f ca="1">'Balance Sheet'!J11</f>
        <v>163611737.14659566</v>
      </c>
      <c r="L22" s="9">
        <f ca="1">'Balance Sheet'!K11</f>
        <v>173341275.50960639</v>
      </c>
      <c r="M22" s="9">
        <f ca="1">'Balance Sheet'!L11</f>
        <v>183574777.3732053</v>
      </c>
      <c r="N22" s="9">
        <f ca="1">'Balance Sheet'!M11</f>
        <v>194264291.50646263</v>
      </c>
      <c r="O22" s="9">
        <f ca="1">'Balance Sheet'!N11</f>
        <v>205352144.336357</v>
      </c>
      <c r="P22" s="9">
        <f ca="1">'Balance Sheet'!O11</f>
        <v>216769937.93611544</v>
      </c>
      <c r="Q22" s="9">
        <f ca="1">'Balance Sheet'!P11</f>
        <v>228437465.84208661</v>
      </c>
      <c r="R22" s="9">
        <f ca="1">'Balance Sheet'!Q11</f>
        <v>241048573.7354551</v>
      </c>
      <c r="S22" s="9">
        <f ca="1">'Balance Sheet'!R11</f>
        <v>254613590.23933727</v>
      </c>
      <c r="T22" s="9">
        <f ca="1">'Balance Sheet'!S11</f>
        <v>269139097.68700695</v>
      </c>
      <c r="U22" s="9">
        <f ca="1">'Balance Sheet'!T11</f>
        <v>284627461.71854091</v>
      </c>
      <c r="V22" s="9">
        <f ca="1">'Balance Sheet'!U11</f>
        <v>301076321.82975554</v>
      </c>
      <c r="W22" s="9">
        <f ca="1">'Balance Sheet'!V11</f>
        <v>318478040.14349848</v>
      </c>
      <c r="X22" s="9">
        <f ca="1">'Balance Sheet'!W11</f>
        <v>336819105.49971867</v>
      </c>
      <c r="Y22" s="9">
        <f ca="1">'Balance Sheet'!X11</f>
        <v>356079489.77668321</v>
      </c>
      <c r="Z22" s="9">
        <f ca="1">'Balance Sheet'!Y11</f>
        <v>376231953.16063666</v>
      </c>
      <c r="AA22" s="9">
        <f ca="1">'Balance Sheet'!Z11</f>
        <v>397241294.87447417</v>
      </c>
      <c r="AB22" s="9">
        <f ca="1">'Balance Sheet'!AA11</f>
        <v>419063545.65695572</v>
      </c>
      <c r="AC22" s="9">
        <f ca="1">'Balance Sheet'!AB11</f>
        <v>441645098.05191255</v>
      </c>
      <c r="AD22" s="9">
        <f ca="1">'Balance Sheet'!AC11</f>
        <v>464921770.32104522</v>
      </c>
      <c r="AE22" s="9">
        <f ca="1">'Balance Sheet'!AD11</f>
        <v>488817799.53349233</v>
      </c>
      <c r="AF22" s="9">
        <f ca="1">'Balance Sheet'!AE11</f>
        <v>513244759.10953009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195011711.84383303</v>
      </c>
      <c r="D23" s="9">
        <f t="shared" ref="D23:AF23" ca="1" si="30">D20-D22</f>
        <v>198921556.652558</v>
      </c>
      <c r="E23" s="9">
        <f t="shared" ca="1" si="30"/>
        <v>207712923.3241536</v>
      </c>
      <c r="F23" s="9">
        <f t="shared" ca="1" si="30"/>
        <v>220871206.68504214</v>
      </c>
      <c r="G23" s="9">
        <f t="shared" ca="1" si="30"/>
        <v>238148997.50551373</v>
      </c>
      <c r="H23" s="9">
        <f t="shared" ca="1" si="30"/>
        <v>258003893.22207099</v>
      </c>
      <c r="I23" s="9">
        <f t="shared" ca="1" si="30"/>
        <v>279453483.50136983</v>
      </c>
      <c r="J23" s="9">
        <f ca="1">J20-J22</f>
        <v>302821080.87053597</v>
      </c>
      <c r="K23" s="9">
        <f t="shared" ca="1" si="30"/>
        <v>327836424.86900568</v>
      </c>
      <c r="L23" s="9">
        <f t="shared" ca="1" si="30"/>
        <v>353403107.47932708</v>
      </c>
      <c r="M23" s="9">
        <f t="shared" ca="1" si="30"/>
        <v>379595305.66020703</v>
      </c>
      <c r="N23" s="9">
        <f t="shared" ca="1" si="30"/>
        <v>406497113.97285193</v>
      </c>
      <c r="O23" s="9">
        <f t="shared" ca="1" si="30"/>
        <v>434203505.90712857</v>
      </c>
      <c r="P23" s="9">
        <f t="shared" ca="1" si="30"/>
        <v>462821372.90399462</v>
      </c>
      <c r="Q23" s="9">
        <f t="shared" ca="1" si="30"/>
        <v>492470646.73373991</v>
      </c>
      <c r="R23" s="9">
        <f t="shared" ca="1" si="30"/>
        <v>522498478.23163086</v>
      </c>
      <c r="S23" s="9">
        <f t="shared" ca="1" si="30"/>
        <v>552936847.17952847</v>
      </c>
      <c r="T23" s="9">
        <f t="shared" ca="1" si="30"/>
        <v>583822833.51809537</v>
      </c>
      <c r="U23" s="9">
        <f t="shared" ca="1" si="30"/>
        <v>615199131.07395756</v>
      </c>
      <c r="V23" s="9">
        <f t="shared" ca="1" si="30"/>
        <v>647114601.72093582</v>
      </c>
      <c r="W23" s="9">
        <f t="shared" ca="1" si="30"/>
        <v>679624872.74964786</v>
      </c>
      <c r="X23" s="9">
        <f t="shared" ca="1" si="30"/>
        <v>712792980.39484143</v>
      </c>
      <c r="Y23" s="9">
        <f t="shared" ca="1" si="30"/>
        <v>746690062.65533602</v>
      </c>
      <c r="Z23" s="9">
        <f t="shared" ca="1" si="30"/>
        <v>781396104.73804021</v>
      </c>
      <c r="AA23" s="9">
        <f t="shared" ca="1" si="30"/>
        <v>817000740.6657933</v>
      </c>
      <c r="AB23" s="9">
        <f t="shared" ca="1" si="30"/>
        <v>853604114.80943298</v>
      </c>
      <c r="AC23" s="9">
        <f t="shared" ca="1" si="30"/>
        <v>891317807.33823347</v>
      </c>
      <c r="AD23" s="9">
        <f t="shared" ca="1" si="30"/>
        <v>930265827.83041835</v>
      </c>
      <c r="AE23" s="9">
        <f t="shared" ca="1" si="30"/>
        <v>970585681.54765105</v>
      </c>
      <c r="AF23" s="9">
        <f t="shared" ca="1" si="30"/>
        <v>1012429513.1550428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50745000</v>
      </c>
      <c r="D5" s="1">
        <f ca="1">C5+C6</f>
        <v>74269249.759110659</v>
      </c>
      <c r="E5" s="1">
        <f t="shared" ref="E5:AF5" ca="1" si="1">D5+D6</f>
        <v>93789868.681521401</v>
      </c>
      <c r="F5" s="1">
        <f t="shared" ca="1" si="1"/>
        <v>109849554.45364742</v>
      </c>
      <c r="G5" s="1">
        <f t="shared" ca="1" si="1"/>
        <v>122724707.77844687</v>
      </c>
      <c r="H5" s="1">
        <f t="shared" ca="1" si="1"/>
        <v>133987650.41980936</v>
      </c>
      <c r="I5" s="1">
        <f t="shared" ca="1" si="1"/>
        <v>144651669.3258836</v>
      </c>
      <c r="J5" s="1">
        <f t="shared" ca="1" si="1"/>
        <v>154425316.63602251</v>
      </c>
      <c r="K5" s="1">
        <f t="shared" ca="1" si="1"/>
        <v>163611737.14659566</v>
      </c>
      <c r="L5" s="1">
        <f t="shared" ca="1" si="1"/>
        <v>173341275.50960639</v>
      </c>
      <c r="M5" s="1">
        <f t="shared" ca="1" si="1"/>
        <v>183574777.3732053</v>
      </c>
      <c r="N5" s="1">
        <f t="shared" ca="1" si="1"/>
        <v>194264291.50646263</v>
      </c>
      <c r="O5" s="1">
        <f t="shared" ca="1" si="1"/>
        <v>205352144.336357</v>
      </c>
      <c r="P5" s="1">
        <f t="shared" ca="1" si="1"/>
        <v>216769937.93611544</v>
      </c>
      <c r="Q5" s="1">
        <f t="shared" ca="1" si="1"/>
        <v>228437465.84208661</v>
      </c>
      <c r="R5" s="1">
        <f t="shared" ca="1" si="1"/>
        <v>241048573.7354551</v>
      </c>
      <c r="S5" s="1">
        <f t="shared" ca="1" si="1"/>
        <v>254613590.23933727</v>
      </c>
      <c r="T5" s="1">
        <f t="shared" ca="1" si="1"/>
        <v>269139097.68700695</v>
      </c>
      <c r="U5" s="1">
        <f t="shared" ca="1" si="1"/>
        <v>284627461.71854091</v>
      </c>
      <c r="V5" s="1">
        <f t="shared" ca="1" si="1"/>
        <v>301076321.82975554</v>
      </c>
      <c r="W5" s="1">
        <f t="shared" ca="1" si="1"/>
        <v>318478040.14349848</v>
      </c>
      <c r="X5" s="1">
        <f t="shared" ca="1" si="1"/>
        <v>336819105.49971867</v>
      </c>
      <c r="Y5" s="1">
        <f t="shared" ca="1" si="1"/>
        <v>356079489.77668321</v>
      </c>
      <c r="Z5" s="1">
        <f t="shared" ca="1" si="1"/>
        <v>376231953.16063666</v>
      </c>
      <c r="AA5" s="1">
        <f t="shared" ca="1" si="1"/>
        <v>397241294.87447417</v>
      </c>
      <c r="AB5" s="1">
        <f t="shared" ca="1" si="1"/>
        <v>419063545.65695572</v>
      </c>
      <c r="AC5" s="1">
        <f t="shared" ca="1" si="1"/>
        <v>441645098.05191255</v>
      </c>
      <c r="AD5" s="1">
        <f t="shared" ca="1" si="1"/>
        <v>464921770.32104522</v>
      </c>
      <c r="AE5" s="1">
        <f t="shared" ca="1" si="1"/>
        <v>488817799.53349233</v>
      </c>
      <c r="AF5" s="1">
        <f t="shared" ca="1" si="1"/>
        <v>513244759.10953009</v>
      </c>
      <c r="AG5" s="1"/>
      <c r="AH5" s="1"/>
      <c r="AI5" s="1"/>
      <c r="AJ5" s="1"/>
      <c r="AK5" s="1"/>
      <c r="AL5" s="1"/>
      <c r="AM5" s="1"/>
      <c r="AN5" s="1"/>
      <c r="AO5" s="1"/>
      <c r="AP5" s="1"/>
    </row>
    <row r="6" spans="1:42" x14ac:dyDescent="0.35">
      <c r="A6" s="63" t="s">
        <v>3</v>
      </c>
      <c r="C6" s="1">
        <f ca="1">-'Cash Flow'!C13</f>
        <v>23524249.759110659</v>
      </c>
      <c r="D6" s="1">
        <f ca="1">-'Cash Flow'!D13</f>
        <v>19520618.922410738</v>
      </c>
      <c r="E6" s="1">
        <f ca="1">-'Cash Flow'!E13</f>
        <v>16059685.772126019</v>
      </c>
      <c r="F6" s="1">
        <f ca="1">-'Cash Flow'!F13</f>
        <v>12875153.324799448</v>
      </c>
      <c r="G6" s="1">
        <f ca="1">-'Cash Flow'!G13</f>
        <v>11262942.641362488</v>
      </c>
      <c r="H6" s="1">
        <f ca="1">-'Cash Flow'!H13</f>
        <v>10664018.906074245</v>
      </c>
      <c r="I6" s="1">
        <f ca="1">-'Cash Flow'!I13</f>
        <v>9773647.3101388961</v>
      </c>
      <c r="J6" s="1">
        <f ca="1">-'Cash Flow'!J13</f>
        <v>9186420.5105731636</v>
      </c>
      <c r="K6" s="1">
        <f ca="1">-'Cash Flow'!K13</f>
        <v>9729538.3630107343</v>
      </c>
      <c r="L6" s="1">
        <f ca="1">-'Cash Flow'!L13</f>
        <v>10233501.863598928</v>
      </c>
      <c r="M6" s="1">
        <f ca="1">-'Cash Flow'!M13</f>
        <v>10689514.133257315</v>
      </c>
      <c r="N6" s="1">
        <f ca="1">-'Cash Flow'!N13</f>
        <v>11087852.829894371</v>
      </c>
      <c r="O6" s="1">
        <f ca="1">-'Cash Flow'!O13</f>
        <v>11417793.599758439</v>
      </c>
      <c r="P6" s="1">
        <f ca="1">-'Cash Flow'!P13</f>
        <v>11667527.905971162</v>
      </c>
      <c r="Q6" s="1">
        <f ca="1">-'Cash Flow'!Q13</f>
        <v>12611107.893368468</v>
      </c>
      <c r="R6" s="1">
        <f ca="1">-'Cash Flow'!R13</f>
        <v>13565016.503882177</v>
      </c>
      <c r="S6" s="1">
        <f ca="1">-'Cash Flow'!S13</f>
        <v>14525507.447669685</v>
      </c>
      <c r="T6" s="1">
        <f ca="1">-'Cash Flow'!T13</f>
        <v>15488364.031533942</v>
      </c>
      <c r="U6" s="1">
        <f ca="1">-'Cash Flow'!U13</f>
        <v>16448860.111214645</v>
      </c>
      <c r="V6" s="1">
        <f ca="1">-'Cash Flow'!V13</f>
        <v>17401718.313742928</v>
      </c>
      <c r="W6" s="1">
        <f ca="1">-'Cash Flow'!W13</f>
        <v>18341065.356220171</v>
      </c>
      <c r="X6" s="1">
        <f ca="1">-'Cash Flow'!X13</f>
        <v>19260384.276964545</v>
      </c>
      <c r="Y6" s="1">
        <f ca="1">-'Cash Flow'!Y13</f>
        <v>20152463.383953437</v>
      </c>
      <c r="Z6" s="1">
        <f ca="1">-'Cash Flow'!Z13</f>
        <v>21009341.713837475</v>
      </c>
      <c r="AA6" s="1">
        <f ca="1">-'Cash Flow'!AA13</f>
        <v>21822250.782481521</v>
      </c>
      <c r="AB6" s="1">
        <f ca="1">-'Cash Flow'!AB13</f>
        <v>22581552.394956857</v>
      </c>
      <c r="AC6" s="1">
        <f ca="1">-'Cash Flow'!AC13</f>
        <v>23276672.269132674</v>
      </c>
      <c r="AD6" s="1">
        <f ca="1">-'Cash Flow'!AD13</f>
        <v>23896029.212447122</v>
      </c>
      <c r="AE6" s="1">
        <f ca="1">-'Cash Flow'!AE13</f>
        <v>24426959.576037735</v>
      </c>
      <c r="AF6" s="1">
        <f ca="1">-'Cash Flow'!AF13</f>
        <v>24855636.694131523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2599423.7415688732</v>
      </c>
      <c r="D8" s="1">
        <f ca="1">IF(SUM(D5:D6)&gt;0,Assumptions!$C$26*SUM(D5:D6),Assumptions!$C$27*(SUM(D5:D6)))</f>
        <v>3282645.4038532493</v>
      </c>
      <c r="E8" s="1">
        <f ca="1">IF(SUM(E5:E6)&gt;0,Assumptions!$C$26*SUM(E5:E6),Assumptions!$C$27*(SUM(E5:E6)))</f>
        <v>3844734.40587766</v>
      </c>
      <c r="F8" s="1">
        <f ca="1">IF(SUM(F5:F6)&gt;0,Assumptions!$C$26*SUM(F5:F6),Assumptions!$C$27*(SUM(F5:F6)))</f>
        <v>4295364.7722456409</v>
      </c>
      <c r="G8" s="1">
        <f ca="1">IF(SUM(G5:G6)&gt;0,Assumptions!$C$26*SUM(G5:G6),Assumptions!$C$27*(SUM(G5:G6)))</f>
        <v>4689567.7646933282</v>
      </c>
      <c r="H8" s="1">
        <f ca="1">IF(SUM(H5:H6)&gt;0,Assumptions!$C$26*SUM(H5:H6),Assumptions!$C$27*(SUM(H5:H6)))</f>
        <v>5062808.4264059262</v>
      </c>
      <c r="I8" s="1">
        <f ca="1">IF(SUM(I5:I6)&gt;0,Assumptions!$C$26*SUM(I5:I6),Assumptions!$C$27*(SUM(I5:I6)))</f>
        <v>5404886.0822607884</v>
      </c>
      <c r="J8" s="1">
        <f ca="1">IF(SUM(J5:J6)&gt;0,Assumptions!$C$26*SUM(J5:J6),Assumptions!$C$27*(SUM(J5:J6)))</f>
        <v>5726410.8001308488</v>
      </c>
      <c r="K8" s="1">
        <f ca="1">IF(SUM(K5:K6)&gt;0,Assumptions!$C$26*SUM(K5:K6),Assumptions!$C$27*(SUM(K5:K6)))</f>
        <v>6066944.6428362243</v>
      </c>
      <c r="L8" s="1">
        <f ca="1">IF(SUM(L5:L6)&gt;0,Assumptions!$C$26*SUM(L5:L6),Assumptions!$C$27*(SUM(L5:L6)))</f>
        <v>6425117.2080621859</v>
      </c>
      <c r="M8" s="1">
        <f ca="1">IF(SUM(M5:M6)&gt;0,Assumptions!$C$26*SUM(M5:M6),Assumptions!$C$27*(SUM(M5:M6)))</f>
        <v>6799250.2027261928</v>
      </c>
      <c r="N8" s="1">
        <f ca="1">IF(SUM(N5:N6)&gt;0,Assumptions!$C$26*SUM(N5:N6),Assumptions!$C$27*(SUM(N5:N6)))</f>
        <v>7187325.0517724957</v>
      </c>
      <c r="O8" s="1">
        <f ca="1">IF(SUM(O5:O6)&gt;0,Assumptions!$C$26*SUM(O5:O6),Assumptions!$C$27*(SUM(O5:O6)))</f>
        <v>7586947.8277640408</v>
      </c>
      <c r="P8" s="1">
        <f ca="1">IF(SUM(P5:P6)&gt;0,Assumptions!$C$26*SUM(P5:P6),Assumptions!$C$27*(SUM(P5:P6)))</f>
        <v>7995311.3044730322</v>
      </c>
      <c r="Q8" s="1">
        <f ca="1">IF(SUM(Q5:Q6)&gt;0,Assumptions!$C$26*SUM(Q5:Q6),Assumptions!$C$27*(SUM(Q5:Q6)))</f>
        <v>8436700.0807409286</v>
      </c>
      <c r="R8" s="1">
        <f ca="1">IF(SUM(R5:R6)&gt;0,Assumptions!$C$26*SUM(R5:R6),Assumptions!$C$27*(SUM(R5:R6)))</f>
        <v>8911475.6583768055</v>
      </c>
      <c r="S8" s="1">
        <f ca="1">IF(SUM(S5:S6)&gt;0,Assumptions!$C$26*SUM(S5:S6),Assumptions!$C$27*(SUM(S5:S6)))</f>
        <v>9419868.4190452434</v>
      </c>
      <c r="T8" s="1">
        <f ca="1">IF(SUM(T5:T6)&gt;0,Assumptions!$C$26*SUM(T5:T6),Assumptions!$C$27*(SUM(T5:T6)))</f>
        <v>9961961.1601489335</v>
      </c>
      <c r="U8" s="1">
        <f ca="1">IF(SUM(U5:U6)&gt;0,Assumptions!$C$26*SUM(U5:U6),Assumptions!$C$27*(SUM(U5:U6)))</f>
        <v>10537671.264041444</v>
      </c>
      <c r="V8" s="1">
        <f ca="1">IF(SUM(V5:V6)&gt;0,Assumptions!$C$26*SUM(V5:V6),Assumptions!$C$27*(SUM(V5:V6)))</f>
        <v>11146731.405022448</v>
      </c>
      <c r="W8" s="1">
        <f ca="1">IF(SUM(W5:W6)&gt;0,Assumptions!$C$26*SUM(W5:W6),Assumptions!$C$27*(SUM(W5:W6)))</f>
        <v>11788668.692490155</v>
      </c>
      <c r="X8" s="1">
        <f ca="1">IF(SUM(X5:X6)&gt;0,Assumptions!$C$26*SUM(X5:X6),Assumptions!$C$27*(SUM(X5:X6)))</f>
        <v>12462782.142183913</v>
      </c>
      <c r="Y8" s="1">
        <f ca="1">IF(SUM(Y5:Y6)&gt;0,Assumptions!$C$26*SUM(Y5:Y6),Assumptions!$C$27*(SUM(Y5:Y6)))</f>
        <v>13168118.360622285</v>
      </c>
      <c r="Z8" s="1">
        <f ca="1">IF(SUM(Z5:Z6)&gt;0,Assumptions!$C$26*SUM(Z5:Z6),Assumptions!$C$27*(SUM(Z5:Z6)))</f>
        <v>13903445.320606597</v>
      </c>
      <c r="AA8" s="1">
        <f ca="1">IF(SUM(AA5:AA6)&gt;0,Assumptions!$C$26*SUM(AA5:AA6),Assumptions!$C$27*(SUM(AA5:AA6)))</f>
        <v>14667224.097993452</v>
      </c>
      <c r="AB8" s="1">
        <f ca="1">IF(SUM(AB5:AB6)&gt;0,Assumptions!$C$26*SUM(AB5:AB6),Assumptions!$C$27*(SUM(AB5:AB6)))</f>
        <v>15457578.431816941</v>
      </c>
      <c r="AC8" s="1">
        <f ca="1">IF(SUM(AC5:AC6)&gt;0,Assumptions!$C$26*SUM(AC5:AC6),Assumptions!$C$27*(SUM(AC5:AC6)))</f>
        <v>16272261.961236585</v>
      </c>
      <c r="AD8" s="1">
        <f ca="1">IF(SUM(AD5:AD6)&gt;0,Assumptions!$C$26*SUM(AD5:AD6),Assumptions!$C$27*(SUM(AD5:AD6)))</f>
        <v>17108622.983672231</v>
      </c>
      <c r="AE8" s="1">
        <f ca="1">IF(SUM(AE5:AE6)&gt;0,Assumptions!$C$26*SUM(AE5:AE6),Assumptions!$C$27*(SUM(AE5:AE6)))</f>
        <v>17963566.568833556</v>
      </c>
      <c r="AF8" s="1">
        <f ca="1">IF(SUM(AF5:AF6)&gt;0,Assumptions!$C$26*SUM(AF5:AF6),Assumptions!$C$27*(SUM(AF5:AF6)))</f>
        <v>18833513.853128158</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5"/>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43.66406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90"/>
    </row>
    <row r="6" spans="1:3" ht="18.5" x14ac:dyDescent="0.45">
      <c r="A6" s="90"/>
      <c r="B6" s="181"/>
    </row>
    <row r="7" spans="1:3" ht="18.5" x14ac:dyDescent="0.45">
      <c r="A7" s="90" t="s">
        <v>96</v>
      </c>
      <c r="B7" s="182">
        <f>Assumptions!C24</f>
        <v>17040000</v>
      </c>
      <c r="C7" s="180" t="str">
        <f>Assumptions!B24</f>
        <v>RFI Table F10; Lines F10.62 + F10.70 - F10.61</v>
      </c>
    </row>
    <row r="8" spans="1:3" ht="34" x14ac:dyDescent="0.45">
      <c r="A8" s="90" t="s">
        <v>173</v>
      </c>
      <c r="B8" s="183">
        <f>Assumptions!$C$133</f>
        <v>0.7</v>
      </c>
      <c r="C8" s="180" t="s">
        <v>199</v>
      </c>
    </row>
    <row r="9" spans="1:3" ht="18.5" x14ac:dyDescent="0.45">
      <c r="A9" s="90"/>
      <c r="B9" s="184"/>
      <c r="C9" s="180"/>
    </row>
    <row r="10" spans="1:3" ht="85" x14ac:dyDescent="0.45">
      <c r="A10" s="94" t="s">
        <v>102</v>
      </c>
      <c r="B10" s="185">
        <f>Assumptions!C135</f>
        <v>10411.85185185185</v>
      </c>
      <c r="C10" s="180" t="s">
        <v>200</v>
      </c>
    </row>
    <row r="11" spans="1:3" ht="18.5" x14ac:dyDescent="0.45">
      <c r="A11" s="94"/>
      <c r="B11" s="186"/>
      <c r="C11" s="180"/>
    </row>
    <row r="12" spans="1:3" ht="18.5" x14ac:dyDescent="0.45">
      <c r="A12" s="94" t="s">
        <v>183</v>
      </c>
      <c r="B12" s="182">
        <f>(B7*B8)/B10</f>
        <v>1145.6175298804783</v>
      </c>
      <c r="C12" s="180"/>
    </row>
    <row r="13" spans="1:3" ht="18.5" x14ac:dyDescent="0.45">
      <c r="A13" s="96"/>
      <c r="B13" s="187"/>
      <c r="C13" s="180"/>
    </row>
    <row r="14" spans="1:3" ht="18.5" x14ac:dyDescent="0.45">
      <c r="A14" s="94" t="s">
        <v>103</v>
      </c>
      <c r="B14" s="103">
        <v>1</v>
      </c>
      <c r="C14" s="180"/>
    </row>
    <row r="15" spans="1:3" ht="18.5" x14ac:dyDescent="0.45">
      <c r="A15" s="96"/>
      <c r="B15" s="99"/>
      <c r="C15" s="180"/>
    </row>
    <row r="16" spans="1:3" ht="18.5" x14ac:dyDescent="0.45">
      <c r="A16" s="96" t="s">
        <v>178</v>
      </c>
      <c r="B16" s="188">
        <f>B12/B14</f>
        <v>1145.6175298804783</v>
      </c>
      <c r="C16" s="180"/>
    </row>
    <row r="17" spans="1:3" ht="18.5" x14ac:dyDescent="0.45">
      <c r="A17" s="94"/>
      <c r="B17" s="189"/>
      <c r="C17" s="180"/>
    </row>
    <row r="18" spans="1:3" ht="18.5" x14ac:dyDescent="0.45">
      <c r="A18" s="102" t="s">
        <v>177</v>
      </c>
      <c r="B18" s="189"/>
      <c r="C18" s="180"/>
    </row>
    <row r="19" spans="1:3" ht="18.5" x14ac:dyDescent="0.45">
      <c r="A19" s="94"/>
      <c r="B19" s="189"/>
      <c r="C19" s="180"/>
    </row>
    <row r="20" spans="1:3" ht="34" x14ac:dyDescent="0.45">
      <c r="A20" s="94" t="s">
        <v>65</v>
      </c>
      <c r="B20" s="182">
        <f>'Profit and Loss'!L5</f>
        <v>72794748.420249626</v>
      </c>
      <c r="C20" s="180" t="s">
        <v>201</v>
      </c>
    </row>
    <row r="21" spans="1:3" ht="34" x14ac:dyDescent="0.45">
      <c r="A21" s="94" t="str">
        <f>A8</f>
        <v>Assumed revenue from households</v>
      </c>
      <c r="B21" s="183">
        <f>B8</f>
        <v>0.7</v>
      </c>
      <c r="C21" s="180" t="s">
        <v>199</v>
      </c>
    </row>
    <row r="22" spans="1:3" ht="18.5" x14ac:dyDescent="0.45">
      <c r="A22" s="94"/>
      <c r="B22" s="186"/>
      <c r="C22" s="180"/>
    </row>
    <row r="23" spans="1:3" ht="34" x14ac:dyDescent="0.45">
      <c r="A23" s="94" t="s">
        <v>101</v>
      </c>
      <c r="B23" s="185">
        <f>Assumptions!M135</f>
        <v>13979.468860934194</v>
      </c>
      <c r="C23" s="180" t="s">
        <v>202</v>
      </c>
    </row>
    <row r="24" spans="1:3" ht="18.5" x14ac:dyDescent="0.45">
      <c r="A24" s="94"/>
      <c r="B24" s="186"/>
      <c r="C24" s="180"/>
    </row>
    <row r="25" spans="1:3" ht="18.5" x14ac:dyDescent="0.45">
      <c r="A25" s="94" t="s">
        <v>182</v>
      </c>
      <c r="B25" s="182">
        <f>(B20*B21)/B23</f>
        <v>3645.0829713976354</v>
      </c>
      <c r="C25" s="180"/>
    </row>
    <row r="26" spans="1:3" ht="18.5" x14ac:dyDescent="0.45">
      <c r="A26" s="94"/>
      <c r="B26" s="182"/>
      <c r="C26" s="180"/>
    </row>
    <row r="27" spans="1:3" ht="34" x14ac:dyDescent="0.45">
      <c r="A27" s="94" t="s">
        <v>103</v>
      </c>
      <c r="B27" s="103">
        <f>1.022^11</f>
        <v>1.2704566586717592</v>
      </c>
      <c r="C27" s="180" t="s">
        <v>203</v>
      </c>
    </row>
    <row r="28" spans="1:3" ht="18.5" x14ac:dyDescent="0.45">
      <c r="A28" s="96"/>
      <c r="B28" s="187"/>
      <c r="C28" s="180"/>
    </row>
    <row r="29" spans="1:3" ht="18.5" x14ac:dyDescent="0.45">
      <c r="A29" s="96" t="s">
        <v>179</v>
      </c>
      <c r="B29" s="182">
        <f>B25/B27</f>
        <v>2869.1124144356941</v>
      </c>
      <c r="C29" s="180"/>
    </row>
    <row r="30" spans="1:3" ht="18.5" x14ac:dyDescent="0.45">
      <c r="A30" s="96"/>
      <c r="B30" s="187"/>
      <c r="C30" s="180"/>
    </row>
    <row r="31" spans="1:3" ht="18.5" x14ac:dyDescent="0.45">
      <c r="A31" s="102" t="s">
        <v>185</v>
      </c>
      <c r="B31" s="190"/>
      <c r="C31" s="180"/>
    </row>
    <row r="32" spans="1:3" ht="18.5" x14ac:dyDescent="0.45">
      <c r="A32" s="94"/>
      <c r="B32" s="182"/>
      <c r="C32" s="180"/>
    </row>
    <row r="33" spans="1:3" ht="34" x14ac:dyDescent="0.45">
      <c r="A33" s="94" t="s">
        <v>66</v>
      </c>
      <c r="B33" s="182">
        <f>'Profit and Loss'!AF5</f>
        <v>209212998.11160085</v>
      </c>
      <c r="C33" s="180" t="s">
        <v>201</v>
      </c>
    </row>
    <row r="34" spans="1:3" ht="34" x14ac:dyDescent="0.45">
      <c r="A34" s="94" t="str">
        <f>A21</f>
        <v>Assumed revenue from households</v>
      </c>
      <c r="B34" s="183">
        <f>B21</f>
        <v>0.7</v>
      </c>
      <c r="C34" s="180" t="s">
        <v>199</v>
      </c>
    </row>
    <row r="35" spans="1:3" ht="18.5" x14ac:dyDescent="0.45">
      <c r="A35" s="94"/>
      <c r="B35" s="186"/>
      <c r="C35" s="180"/>
    </row>
    <row r="36" spans="1:3" ht="34" x14ac:dyDescent="0.45">
      <c r="A36" s="94" t="s">
        <v>100</v>
      </c>
      <c r="B36" s="185">
        <f>Assumptions!AG135</f>
        <v>25200.900122909603</v>
      </c>
      <c r="C36" s="180" t="s">
        <v>202</v>
      </c>
    </row>
    <row r="37" spans="1:3" ht="18.5" x14ac:dyDescent="0.45">
      <c r="A37" s="94"/>
      <c r="B37" s="186"/>
      <c r="C37" s="180"/>
    </row>
    <row r="38" spans="1:3" ht="18.5" x14ac:dyDescent="0.45">
      <c r="A38" s="94" t="s">
        <v>181</v>
      </c>
      <c r="B38" s="182">
        <f>(B33*B34)/B36</f>
        <v>5811.2645962588776</v>
      </c>
      <c r="C38" s="180"/>
    </row>
    <row r="39" spans="1:3" ht="18.5" x14ac:dyDescent="0.45">
      <c r="A39" s="94"/>
      <c r="B39" s="186"/>
      <c r="C39" s="180"/>
    </row>
    <row r="40" spans="1:3" ht="34" x14ac:dyDescent="0.45">
      <c r="A40" s="94" t="s">
        <v>103</v>
      </c>
      <c r="B40" s="103">
        <f>1.022^31</f>
        <v>1.9632597808456462</v>
      </c>
      <c r="C40" s="180" t="s">
        <v>203</v>
      </c>
    </row>
    <row r="41" spans="1:3" ht="18.5" x14ac:dyDescent="0.45">
      <c r="A41" s="96"/>
      <c r="B41" s="187"/>
    </row>
    <row r="42" spans="1:3" ht="18.5" x14ac:dyDescent="0.45">
      <c r="A42" s="96" t="s">
        <v>180</v>
      </c>
      <c r="B42" s="182">
        <f>B38/B40</f>
        <v>2960.0079688668393</v>
      </c>
    </row>
    <row r="43" spans="1:3" x14ac:dyDescent="0.35">
      <c r="B43" s="191"/>
    </row>
    <row r="44" spans="1:3" x14ac:dyDescent="0.35">
      <c r="B44" s="191"/>
    </row>
    <row r="45" spans="1:3" x14ac:dyDescent="0.35">
      <c r="B45"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2.9902871712606638E-2</v>
      </c>
      <c r="D13" s="128">
        <f t="shared" ref="D13:AG13" si="3">(1+$C$13)^D8</f>
        <v>1.0299028717126066</v>
      </c>
      <c r="E13" s="128">
        <f t="shared" si="3"/>
        <v>1.0606999251618738</v>
      </c>
      <c r="F13" s="128">
        <f t="shared" si="3"/>
        <v>1.0924178989495608</v>
      </c>
      <c r="G13" s="128">
        <f t="shared" si="3"/>
        <v>1.1250843312384047</v>
      </c>
      <c r="H13" s="128">
        <f t="shared" si="3"/>
        <v>1.1587275836612905</v>
      </c>
      <c r="I13" s="128">
        <f t="shared" si="3"/>
        <v>1.1933768659453727</v>
      </c>
      <c r="J13" s="128">
        <f t="shared" si="3"/>
        <v>1.2290622612725297</v>
      </c>
      <c r="K13" s="128">
        <f t="shared" si="3"/>
        <v>1.2658147523981682</v>
      </c>
      <c r="L13" s="128">
        <f t="shared" si="3"/>
        <v>1.3036662485510555</v>
      </c>
      <c r="M13" s="128">
        <f t="shared" si="3"/>
        <v>1.3426496131375329</v>
      </c>
      <c r="N13" s="128">
        <f t="shared" si="3"/>
        <v>1.3827986922741653</v>
      </c>
      <c r="O13" s="128">
        <f t="shared" si="3"/>
        <v>1.4241483441735998</v>
      </c>
      <c r="P13" s="128">
        <f t="shared" si="3"/>
        <v>1.4667344694091442</v>
      </c>
      <c r="Q13" s="128">
        <f t="shared" si="3"/>
        <v>1.510594042084344</v>
      </c>
      <c r="R13" s="128">
        <f t="shared" si="3"/>
        <v>1.5557651419346199</v>
      </c>
      <c r="S13" s="128">
        <f t="shared" si="3"/>
        <v>1.6022869873888359</v>
      </c>
      <c r="T13" s="128">
        <f t="shared" si="3"/>
        <v>1.6501999696195033</v>
      </c>
      <c r="U13" s="128">
        <f t="shared" si="3"/>
        <v>1.6995456876111825</v>
      </c>
      <c r="V13" s="128">
        <f t="shared" si="3"/>
        <v>1.7503669842775336</v>
      </c>
      <c r="W13" s="128">
        <f t="shared" si="3"/>
        <v>1.8027079836583666</v>
      </c>
      <c r="X13" s="128">
        <f t="shared" si="3"/>
        <v>1.8566141292289944</v>
      </c>
      <c r="Y13" s="128">
        <f t="shared" si="3"/>
        <v>1.9121322233551419</v>
      </c>
      <c r="Z13" s="128">
        <f t="shared" si="3"/>
        <v>1.9693104679276721</v>
      </c>
      <c r="AA13" s="128">
        <f t="shared" si="3"/>
        <v>2.0281985062124064</v>
      </c>
      <c r="AB13" s="128">
        <f t="shared" si="3"/>
        <v>2.088847465951376</v>
      </c>
      <c r="AC13" s="128">
        <f t="shared" si="3"/>
        <v>2.1513100037529238</v>
      </c>
      <c r="AD13" s="128">
        <f t="shared" si="3"/>
        <v>2.2156403508091942</v>
      </c>
      <c r="AE13" s="128">
        <f t="shared" si="3"/>
        <v>2.2818943599807162</v>
      </c>
      <c r="AF13" s="128">
        <f t="shared" si="3"/>
        <v>2.3501295542889404</v>
      </c>
      <c r="AG13" s="128">
        <f t="shared" si="3"/>
        <v>2.4204051768588482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438346573.75000006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219173286.87500003</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50745000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17040000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8642000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350677259</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526015888.50000012</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1035740.6826998167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2197254.5478014783</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1616497.6152506475</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2823139.9965430433</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5634681.1083660116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4228910.5524545275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6426165.1002560053</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179" t="s">
        <v>175</v>
      </c>
      <c r="C77" s="87">
        <v>233375244</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600922780.53583503</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477874694.76840651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834298024.53583503</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711249938.76840651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50">
        <v>28112</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28112</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28112</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29677.647429419289</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25300.581202632558</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834298024.53583503</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711249938.76840651</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772773981.65212083</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772773981.65212083</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ht="13.5" customHeight="1"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25759132.721737362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6426165.1002560053</v>
      </c>
      <c r="E111" s="149">
        <f t="shared" si="9"/>
        <v>6426165.1002560053</v>
      </c>
      <c r="F111" s="149">
        <f t="shared" si="9"/>
        <v>6426165.1002560053</v>
      </c>
      <c r="G111" s="149">
        <f t="shared" si="9"/>
        <v>6426165.1002560053</v>
      </c>
      <c r="H111" s="149">
        <f t="shared" si="9"/>
        <v>6426165.1002560053</v>
      </c>
      <c r="I111" s="149">
        <f t="shared" si="9"/>
        <v>6426165.1002560053</v>
      </c>
      <c r="J111" s="149">
        <f t="shared" si="9"/>
        <v>6426165.1002560053</v>
      </c>
      <c r="K111" s="149">
        <f t="shared" si="9"/>
        <v>6426165.1002560053</v>
      </c>
      <c r="L111" s="149">
        <f t="shared" si="9"/>
        <v>6426165.1002560053</v>
      </c>
      <c r="M111" s="149">
        <f t="shared" si="9"/>
        <v>6426165.1002560053</v>
      </c>
      <c r="N111" s="149">
        <f t="shared" si="9"/>
        <v>6426165.1002560053</v>
      </c>
      <c r="O111" s="149">
        <f t="shared" si="9"/>
        <v>6426165.1002560053</v>
      </c>
      <c r="P111" s="149">
        <f t="shared" si="9"/>
        <v>6426165.1002560053</v>
      </c>
      <c r="Q111" s="149">
        <f t="shared" si="9"/>
        <v>6426165.1002560053</v>
      </c>
      <c r="R111" s="149">
        <f t="shared" si="9"/>
        <v>6426165.1002560053</v>
      </c>
      <c r="S111" s="149">
        <f t="shared" si="9"/>
        <v>6426165.1002560053</v>
      </c>
      <c r="T111" s="149">
        <f t="shared" si="9"/>
        <v>6426165.1002560053</v>
      </c>
      <c r="U111" s="149">
        <f t="shared" si="9"/>
        <v>6426165.1002560053</v>
      </c>
      <c r="V111" s="149">
        <f t="shared" si="9"/>
        <v>6426165.1002560053</v>
      </c>
      <c r="W111" s="149">
        <f t="shared" si="9"/>
        <v>6426165.1002560053</v>
      </c>
      <c r="X111" s="149">
        <f t="shared" si="9"/>
        <v>6426165.1002560053</v>
      </c>
      <c r="Y111" s="149">
        <f t="shared" si="9"/>
        <v>6426165.1002560053</v>
      </c>
      <c r="Z111" s="149">
        <f t="shared" si="9"/>
        <v>6426165.1002560053</v>
      </c>
      <c r="AA111" s="149">
        <f t="shared" si="9"/>
        <v>6426165.1002560053</v>
      </c>
      <c r="AB111" s="149">
        <f t="shared" si="9"/>
        <v>6426165.1002560053</v>
      </c>
      <c r="AC111" s="149">
        <f t="shared" si="9"/>
        <v>6426165.1002560053</v>
      </c>
      <c r="AD111" s="149">
        <f t="shared" si="9"/>
        <v>6426165.1002560053</v>
      </c>
      <c r="AE111" s="149">
        <f t="shared" si="9"/>
        <v>6426165.1002560053</v>
      </c>
      <c r="AF111" s="149">
        <f t="shared" si="9"/>
        <v>6426165.1002560053</v>
      </c>
      <c r="AG111" s="149">
        <f t="shared" si="9"/>
        <v>6426165.1002560053</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772773981.65212119</v>
      </c>
      <c r="D113" s="149">
        <f t="shared" ref="D113:AG113" si="10">$C$102</f>
        <v>25759132.721737362</v>
      </c>
      <c r="E113" s="149">
        <f t="shared" si="10"/>
        <v>25759132.721737362</v>
      </c>
      <c r="F113" s="149">
        <f t="shared" si="10"/>
        <v>25759132.721737362</v>
      </c>
      <c r="G113" s="149">
        <f t="shared" si="10"/>
        <v>25759132.721737362</v>
      </c>
      <c r="H113" s="149">
        <f t="shared" si="10"/>
        <v>25759132.721737362</v>
      </c>
      <c r="I113" s="149">
        <f t="shared" si="10"/>
        <v>25759132.721737362</v>
      </c>
      <c r="J113" s="149">
        <f t="shared" si="10"/>
        <v>25759132.721737362</v>
      </c>
      <c r="K113" s="149">
        <f t="shared" si="10"/>
        <v>25759132.721737362</v>
      </c>
      <c r="L113" s="149">
        <f t="shared" si="10"/>
        <v>25759132.721737362</v>
      </c>
      <c r="M113" s="149">
        <f t="shared" si="10"/>
        <v>25759132.721737362</v>
      </c>
      <c r="N113" s="149">
        <f t="shared" si="10"/>
        <v>25759132.721737362</v>
      </c>
      <c r="O113" s="149">
        <f t="shared" si="10"/>
        <v>25759132.721737362</v>
      </c>
      <c r="P113" s="149">
        <f t="shared" si="10"/>
        <v>25759132.721737362</v>
      </c>
      <c r="Q113" s="149">
        <f t="shared" si="10"/>
        <v>25759132.721737362</v>
      </c>
      <c r="R113" s="149">
        <f t="shared" si="10"/>
        <v>25759132.721737362</v>
      </c>
      <c r="S113" s="149">
        <f t="shared" si="10"/>
        <v>25759132.721737362</v>
      </c>
      <c r="T113" s="149">
        <f t="shared" si="10"/>
        <v>25759132.721737362</v>
      </c>
      <c r="U113" s="149">
        <f t="shared" si="10"/>
        <v>25759132.721737362</v>
      </c>
      <c r="V113" s="149">
        <f t="shared" si="10"/>
        <v>25759132.721737362</v>
      </c>
      <c r="W113" s="149">
        <f t="shared" si="10"/>
        <v>25759132.721737362</v>
      </c>
      <c r="X113" s="149">
        <f t="shared" si="10"/>
        <v>25759132.721737362</v>
      </c>
      <c r="Y113" s="149">
        <f t="shared" si="10"/>
        <v>25759132.721737362</v>
      </c>
      <c r="Z113" s="149">
        <f t="shared" si="10"/>
        <v>25759132.721737362</v>
      </c>
      <c r="AA113" s="149">
        <f t="shared" si="10"/>
        <v>25759132.721737362</v>
      </c>
      <c r="AB113" s="149">
        <f t="shared" si="10"/>
        <v>25759132.721737362</v>
      </c>
      <c r="AC113" s="149">
        <f t="shared" si="10"/>
        <v>25759132.721737362</v>
      </c>
      <c r="AD113" s="149">
        <f t="shared" si="10"/>
        <v>25759132.721737362</v>
      </c>
      <c r="AE113" s="149">
        <f t="shared" si="10"/>
        <v>25759132.721737362</v>
      </c>
      <c r="AF113" s="149">
        <f t="shared" si="10"/>
        <v>25759132.721737362</v>
      </c>
      <c r="AG113" s="149">
        <f t="shared" si="10"/>
        <v>25759132.721737362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25759132.721737362</v>
      </c>
      <c r="E118" s="149">
        <f t="shared" ref="E118:AG118" si="13">E113+E115+E116</f>
        <v>25759132.721737362</v>
      </c>
      <c r="F118" s="149">
        <f>F113+F115+F116</f>
        <v>25759132.721737362</v>
      </c>
      <c r="G118" s="149">
        <f t="shared" si="13"/>
        <v>25759132.721737362</v>
      </c>
      <c r="H118" s="149">
        <f t="shared" si="13"/>
        <v>25759132.721737362</v>
      </c>
      <c r="I118" s="149">
        <f t="shared" si="13"/>
        <v>25759132.721737362</v>
      </c>
      <c r="J118" s="149">
        <f t="shared" si="13"/>
        <v>25759132.721737362</v>
      </c>
      <c r="K118" s="149">
        <f t="shared" si="13"/>
        <v>25759132.721737362</v>
      </c>
      <c r="L118" s="149">
        <f t="shared" si="13"/>
        <v>25759132.721737362</v>
      </c>
      <c r="M118" s="149">
        <f t="shared" si="13"/>
        <v>25759132.721737362</v>
      </c>
      <c r="N118" s="149">
        <f t="shared" si="13"/>
        <v>25759132.721737362</v>
      </c>
      <c r="O118" s="149">
        <f t="shared" si="13"/>
        <v>25759132.721737362</v>
      </c>
      <c r="P118" s="149">
        <f t="shared" si="13"/>
        <v>25759132.721737362</v>
      </c>
      <c r="Q118" s="149">
        <f t="shared" si="13"/>
        <v>25759132.721737362</v>
      </c>
      <c r="R118" s="149">
        <f t="shared" si="13"/>
        <v>25759132.721737362</v>
      </c>
      <c r="S118" s="149">
        <f t="shared" si="13"/>
        <v>25759132.721737362</v>
      </c>
      <c r="T118" s="149">
        <f t="shared" si="13"/>
        <v>25759132.721737362</v>
      </c>
      <c r="U118" s="149">
        <f t="shared" si="13"/>
        <v>25759132.721737362</v>
      </c>
      <c r="V118" s="149">
        <f t="shared" si="13"/>
        <v>25759132.721737362</v>
      </c>
      <c r="W118" s="149">
        <f t="shared" si="13"/>
        <v>25759132.721737362</v>
      </c>
      <c r="X118" s="149">
        <f t="shared" si="13"/>
        <v>25759132.721737362</v>
      </c>
      <c r="Y118" s="149">
        <f t="shared" si="13"/>
        <v>25759132.721737362</v>
      </c>
      <c r="Z118" s="149">
        <f t="shared" si="13"/>
        <v>25759132.721737362</v>
      </c>
      <c r="AA118" s="149">
        <f t="shared" si="13"/>
        <v>25759132.721737362</v>
      </c>
      <c r="AB118" s="149">
        <f t="shared" si="13"/>
        <v>25759132.721737362</v>
      </c>
      <c r="AC118" s="149">
        <f t="shared" si="13"/>
        <v>25759132.721737362</v>
      </c>
      <c r="AD118" s="149">
        <f t="shared" si="13"/>
        <v>25759132.721737362</v>
      </c>
      <c r="AE118" s="149">
        <f t="shared" si="13"/>
        <v>25759132.721737362</v>
      </c>
      <c r="AF118" s="149">
        <f t="shared" si="13"/>
        <v>25759132.721737362</v>
      </c>
      <c r="AG118" s="149">
        <f t="shared" si="13"/>
        <v>25759132.721737362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618219.18532169668</v>
      </c>
      <c r="E120" s="149">
        <f>(SUM($D$118:E118)*$C$104/$C$106)+(SUM($D$118:E118)*$C$105/$C$107)</f>
        <v>1236438.3706433934</v>
      </c>
      <c r="F120" s="149">
        <f>(SUM($D$118:F118)*$C$104/$C$106)+(SUM($D$118:F118)*$C$105/$C$107)</f>
        <v>1854657.5559650902</v>
      </c>
      <c r="G120" s="149">
        <f>(SUM($D$118:G118)*$C$104/$C$106)+(SUM($D$118:G118)*$C$105/$C$107)</f>
        <v>2472876.7412867867</v>
      </c>
      <c r="H120" s="149">
        <f>(SUM($D$118:H118)*$C$104/$C$106)+(SUM($D$118:H118)*$C$105/$C$107)</f>
        <v>3091095.9266084828</v>
      </c>
      <c r="I120" s="149">
        <f>(SUM($D$118:I118)*$C$104/$C$106)+(SUM($D$118:I118)*$C$105/$C$107)</f>
        <v>3709315.1119301794</v>
      </c>
      <c r="J120" s="149">
        <f>(SUM($D$118:J118)*$C$104/$C$106)+(SUM($D$118:J118)*$C$105/$C$107)</f>
        <v>4327534.2972518764</v>
      </c>
      <c r="K120" s="149">
        <f>(SUM($D$118:K118)*$C$104/$C$106)+(SUM($D$118:K118)*$C$105/$C$107)</f>
        <v>4945753.4825735725</v>
      </c>
      <c r="L120" s="149">
        <f>(SUM($D$118:L118)*$C$104/$C$106)+(SUM($D$118:L118)*$C$105/$C$107)</f>
        <v>5563972.6678952696</v>
      </c>
      <c r="M120" s="149">
        <f>(SUM($D$118:M118)*$C$104/$C$106)+(SUM($D$118:M118)*$C$105/$C$107)</f>
        <v>6182191.8532169648</v>
      </c>
      <c r="N120" s="149">
        <f>(SUM($D$118:N118)*$C$104/$C$106)+(SUM($D$118:N118)*$C$105/$C$107)</f>
        <v>6800411.0385386627</v>
      </c>
      <c r="O120" s="149">
        <f>(SUM($D$118:O118)*$C$104/$C$106)+(SUM($D$118:O118)*$C$105/$C$107)</f>
        <v>7418630.2238603588</v>
      </c>
      <c r="P120" s="149">
        <f>(SUM($D$118:P118)*$C$104/$C$106)+(SUM($D$118:P118)*$C$105/$C$107)</f>
        <v>8036849.4091820568</v>
      </c>
      <c r="Q120" s="149">
        <f>(SUM($D$118:Q118)*$C$104/$C$106)+(SUM($D$118:Q118)*$C$105/$C$107)</f>
        <v>8655068.5945037547</v>
      </c>
      <c r="R120" s="149">
        <f>(SUM($D$118:R118)*$C$104/$C$106)+(SUM($D$118:R118)*$C$105/$C$107)</f>
        <v>9273287.7798254509</v>
      </c>
      <c r="S120" s="149">
        <f>(SUM($D$118:S118)*$C$104/$C$106)+(SUM($D$118:S118)*$C$105/$C$107)</f>
        <v>9891506.9651471488</v>
      </c>
      <c r="T120" s="149">
        <f>(SUM($D$118:T118)*$C$104/$C$106)+(SUM($D$118:T118)*$C$105/$C$107)</f>
        <v>10509726.150468845</v>
      </c>
      <c r="U120" s="149">
        <f>(SUM($D$118:U118)*$C$104/$C$106)+(SUM($D$118:U118)*$C$105/$C$107)</f>
        <v>11127945.335790543</v>
      </c>
      <c r="V120" s="149">
        <f>(SUM($D$118:V118)*$C$104/$C$106)+(SUM($D$118:V118)*$C$105/$C$107)</f>
        <v>11746164.521112239</v>
      </c>
      <c r="W120" s="149">
        <f>(SUM($D$118:W118)*$C$104/$C$106)+(SUM($D$118:W118)*$C$105/$C$107)</f>
        <v>12364383.706433939</v>
      </c>
      <c r="X120" s="149">
        <f>(SUM($D$118:X118)*$C$104/$C$106)+(SUM($D$118:X118)*$C$105/$C$107)</f>
        <v>12982602.891755633</v>
      </c>
      <c r="Y120" s="149">
        <f>(SUM($D$118:Y118)*$C$104/$C$106)+(SUM($D$118:Y118)*$C$105/$C$107)</f>
        <v>13600822.077077329</v>
      </c>
      <c r="Z120" s="149">
        <f>(SUM($D$118:Z118)*$C$104/$C$106)+(SUM($D$118:Z118)*$C$105/$C$107)</f>
        <v>14219041.262399027</v>
      </c>
      <c r="AA120" s="149">
        <f>(SUM($D$118:AA118)*$C$104/$C$106)+(SUM($D$118:AA118)*$C$105/$C$107)</f>
        <v>14837260.447720727</v>
      </c>
      <c r="AB120" s="149">
        <f>(SUM($D$118:AB118)*$C$104/$C$106)+(SUM($D$118:AB118)*$C$105/$C$107)</f>
        <v>15455479.633042421</v>
      </c>
      <c r="AC120" s="149">
        <f>(SUM($D$118:AC118)*$C$104/$C$106)+(SUM($D$118:AC118)*$C$105/$C$107)</f>
        <v>16073698.818364119</v>
      </c>
      <c r="AD120" s="149">
        <f>(SUM($D$118:AD118)*$C$104/$C$106)+(SUM($D$118:AD118)*$C$105/$C$107)</f>
        <v>16691918.003685815</v>
      </c>
      <c r="AE120" s="149">
        <f>(SUM($D$118:AE118)*$C$104/$C$106)+(SUM($D$118:AE118)*$C$105/$C$107)</f>
        <v>17310137.189007513</v>
      </c>
      <c r="AF120" s="149">
        <f>(SUM($D$118:AF118)*$C$104/$C$106)+(SUM($D$118:AF118)*$C$105/$C$107)</f>
        <v>17928356.374329213</v>
      </c>
      <c r="AG120" s="149">
        <f>(SUM($D$118:AG118)*$C$104/$C$106)+(SUM($D$118:AG118)*$C$105/$C$107)</f>
        <v>18546575.559650909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772773.98165212083</v>
      </c>
      <c r="E122" s="72">
        <f>(SUM($D$118:E118)*$C$109)</f>
        <v>1545547.9633042417</v>
      </c>
      <c r="F122" s="72">
        <f>(SUM($D$118:F118)*$C$109)</f>
        <v>2318321.9449563627</v>
      </c>
      <c r="G122" s="72">
        <f>(SUM($D$118:G118)*$C$109)</f>
        <v>3091095.9266084833</v>
      </c>
      <c r="H122" s="72">
        <f>(SUM($D$118:H118)*$C$109)</f>
        <v>3863869.9082606039</v>
      </c>
      <c r="I122" s="72">
        <f>(SUM($D$118:I118)*$C$109)</f>
        <v>4636643.8899127245</v>
      </c>
      <c r="J122" s="72">
        <f>(SUM($D$118:J118)*$C$109)</f>
        <v>5409417.8715648456</v>
      </c>
      <c r="K122" s="72">
        <f>(SUM($D$118:K118)*$C$109)</f>
        <v>6182191.8532169657</v>
      </c>
      <c r="L122" s="72">
        <f>(SUM($D$118:L118)*$C$109)</f>
        <v>6954965.8348690867</v>
      </c>
      <c r="M122" s="72">
        <f>(SUM($D$118:M118)*$C$109)</f>
        <v>7727739.8165212069</v>
      </c>
      <c r="N122" s="72">
        <f>(SUM($D$118:N118)*$C$109)</f>
        <v>8500513.798173327</v>
      </c>
      <c r="O122" s="72">
        <f>(SUM($D$118:O118)*$C$109)</f>
        <v>9273287.779825449</v>
      </c>
      <c r="P122" s="72">
        <f>(SUM($D$118:P118)*$C$109)</f>
        <v>10046061.761477571</v>
      </c>
      <c r="Q122" s="72">
        <f>(SUM($D$118:Q118)*$C$109)</f>
        <v>10818835.743129693</v>
      </c>
      <c r="R122" s="72">
        <f>(SUM($D$118:R118)*$C$109)</f>
        <v>11591609.724781813</v>
      </c>
      <c r="S122" s="72">
        <f>(SUM($D$118:S118)*$C$109)</f>
        <v>12364383.706433935</v>
      </c>
      <c r="T122" s="72">
        <f>(SUM($D$118:T118)*$C$109)</f>
        <v>13137157.688086057</v>
      </c>
      <c r="U122" s="72">
        <f>(SUM($D$118:U118)*$C$109)</f>
        <v>13909931.669738179</v>
      </c>
      <c r="V122" s="72">
        <f>(SUM($D$118:V118)*$C$109)</f>
        <v>14682705.651390299</v>
      </c>
      <c r="W122" s="72">
        <f>(SUM($D$118:W118)*$C$109)</f>
        <v>15455479.633042421</v>
      </c>
      <c r="X122" s="72">
        <f>(SUM($D$118:X118)*$C$109)</f>
        <v>16228253.614694541</v>
      </c>
      <c r="Y122" s="72">
        <f>(SUM($D$118:Y118)*$C$109)</f>
        <v>17001027.596346661</v>
      </c>
      <c r="Z122" s="72">
        <f>(SUM($D$118:Z118)*$C$109)</f>
        <v>17773801.577998783</v>
      </c>
      <c r="AA122" s="72">
        <f>(SUM($D$118:AA118)*$C$109)</f>
        <v>18546575.559650905</v>
      </c>
      <c r="AB122" s="72">
        <f>(SUM($D$118:AB118)*$C$109)</f>
        <v>19319349.541303027</v>
      </c>
      <c r="AC122" s="72">
        <f>(SUM($D$118:AC118)*$C$109)</f>
        <v>20092123.522955149</v>
      </c>
      <c r="AD122" s="72">
        <f>(SUM($D$118:AD118)*$C$109)</f>
        <v>20864897.504607271</v>
      </c>
      <c r="AE122" s="72">
        <f>(SUM($D$118:AE118)*$C$109)</f>
        <v>21637671.486259393</v>
      </c>
      <c r="AF122" s="72">
        <f>(SUM($D$118:AF118)*$C$109)</f>
        <v>22410445.467911512</v>
      </c>
      <c r="AG122" s="72">
        <f>(SUM($D$118:AG118)*$C$109)</f>
        <v>23183219.449563634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196</v>
      </c>
      <c r="C126" s="126">
        <v>28112</v>
      </c>
      <c r="D126" s="140"/>
    </row>
    <row r="127" spans="1:33" x14ac:dyDescent="0.35">
      <c r="A127" s="77" t="s">
        <v>150</v>
      </c>
      <c r="B127" s="77" t="s">
        <v>133</v>
      </c>
      <c r="C127" s="126">
        <v>28112</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28112</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10411.85185185185</v>
      </c>
      <c r="D135" s="157">
        <f t="shared" ref="D135:AG135" si="14">$C$135*D13</f>
        <v>10723.196122068442</v>
      </c>
      <c r="E135" s="157">
        <f t="shared" si="14"/>
        <v>11043.850480055775</v>
      </c>
      <c r="F135" s="157">
        <f t="shared" si="14"/>
        <v>11374.093324174091</v>
      </c>
      <c r="G135" s="157">
        <f t="shared" si="14"/>
        <v>11714.211377694084</v>
      </c>
      <c r="H135" s="157">
        <f t="shared" si="14"/>
        <v>12064.499937735627</v>
      </c>
      <c r="I135" s="157">
        <f t="shared" si="14"/>
        <v>12425.263131650487</v>
      </c>
      <c r="J135" s="157">
        <f t="shared" si="14"/>
        <v>12796.814181071612</v>
      </c>
      <c r="K135" s="157">
        <f t="shared" si="14"/>
        <v>13179.475673858258</v>
      </c>
      <c r="L135" s="157">
        <f t="shared" si="14"/>
        <v>13573.579844173062</v>
      </c>
      <c r="M135" s="157">
        <f t="shared" si="14"/>
        <v>13979.468860934194</v>
      </c>
      <c r="N135" s="157">
        <f t="shared" si="14"/>
        <v>14397.495124893085</v>
      </c>
      <c r="O135" s="157">
        <f t="shared" si="14"/>
        <v>14828.021574595641</v>
      </c>
      <c r="P135" s="157">
        <f t="shared" si="14"/>
        <v>15271.422001492539</v>
      </c>
      <c r="Q135" s="157">
        <f t="shared" si="14"/>
        <v>15728.081374472249</v>
      </c>
      <c r="R135" s="157">
        <f t="shared" si="14"/>
        <v>16198.396174098529</v>
      </c>
      <c r="S135" s="157">
        <f t="shared" si="14"/>
        <v>16682.774736842573</v>
      </c>
      <c r="T135" s="157">
        <f t="shared" si="14"/>
        <v>17181.637609608693</v>
      </c>
      <c r="U135" s="157">
        <f t="shared" si="14"/>
        <v>17695.417914861318</v>
      </c>
      <c r="V135" s="157">
        <f t="shared" si="14"/>
        <v>18224.561726670378</v>
      </c>
      <c r="W135" s="157">
        <f t="shared" si="14"/>
        <v>18769.528458001478</v>
      </c>
      <c r="X135" s="157">
        <f t="shared" si="14"/>
        <v>19330.791259587215</v>
      </c>
      <c r="Y135" s="157">
        <f t="shared" si="14"/>
        <v>19908.837430725831</v>
      </c>
      <c r="Z135" s="157">
        <f t="shared" si="14"/>
        <v>20504.168842363968</v>
      </c>
      <c r="AA135" s="157">
        <f t="shared" si="14"/>
        <v>21117.3023728308</v>
      </c>
      <c r="AB135" s="157">
        <f t="shared" si="14"/>
        <v>21748.770356601879</v>
      </c>
      <c r="AC135" s="157">
        <f t="shared" si="14"/>
        <v>22399.121046482291</v>
      </c>
      <c r="AD135" s="157">
        <f t="shared" si="14"/>
        <v>23068.919089610394</v>
      </c>
      <c r="AE135" s="157">
        <f t="shared" si="14"/>
        <v>23758.746017695514</v>
      </c>
      <c r="AF135" s="157">
        <f t="shared" si="14"/>
        <v>24469.200751915068</v>
      </c>
      <c r="AG135" s="157">
        <f t="shared" si="14"/>
        <v>25200.900122909603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v>
      </c>
      <c r="F4" s="65">
        <v>0.3</v>
      </c>
      <c r="G4" s="65">
        <v>0.2</v>
      </c>
      <c r="H4" s="65">
        <v>0.15</v>
      </c>
      <c r="I4" s="65">
        <v>0.09</v>
      </c>
      <c r="J4" s="65">
        <v>0.06</v>
      </c>
      <c r="K4" s="65">
        <v>0.06</v>
      </c>
      <c r="L4" s="65">
        <v>0.05</v>
      </c>
      <c r="M4" s="65">
        <v>0.03</v>
      </c>
      <c r="N4" s="65">
        <v>0.03</v>
      </c>
      <c r="O4" s="65">
        <v>0.03</v>
      </c>
      <c r="P4" s="65">
        <v>0.03</v>
      </c>
      <c r="Q4" s="65">
        <v>0.03</v>
      </c>
      <c r="R4" s="65">
        <v>0.03</v>
      </c>
      <c r="S4" s="65">
        <v>2.1999999999999999E-2</v>
      </c>
      <c r="T4" s="65">
        <v>2.1999999999999999E-2</v>
      </c>
      <c r="U4" s="65">
        <v>2.1999999999999999E-2</v>
      </c>
      <c r="V4" s="65">
        <v>2.1999999999999999E-2</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2.4844461011849095</v>
      </c>
      <c r="C6" s="25"/>
      <c r="D6" s="25"/>
      <c r="E6" s="27">
        <f>'Debt worksheet'!C5/'Profit and Loss'!C5</f>
        <v>2.2242522829768094</v>
      </c>
      <c r="F6" s="28">
        <f ca="1">'Debt worksheet'!D5/'Profit and Loss'!D5</f>
        <v>2.4314212253567331</v>
      </c>
      <c r="G6" s="28">
        <f ca="1">'Debt worksheet'!E5/'Profit and Loss'!E5</f>
        <v>2.4844461011849095</v>
      </c>
      <c r="H6" s="28">
        <f ca="1">'Debt worksheet'!F5/'Profit and Loss'!F5</f>
        <v>2.4568454740019567</v>
      </c>
      <c r="I6" s="28">
        <f ca="1">'Debt worksheet'!G5/'Profit and Loss'!G5</f>
        <v>2.4450558388748616</v>
      </c>
      <c r="J6" s="28">
        <f ca="1">'Debt worksheet'!H5/'Profit and Loss'!H5</f>
        <v>2.4452282928228875</v>
      </c>
      <c r="K6" s="28">
        <f ca="1">'Debt worksheet'!I5/'Profit and Loss'!I5</f>
        <v>2.4181094610061353</v>
      </c>
      <c r="L6" s="28">
        <f ca="1">'Debt worksheet'!J5/'Profit and Loss'!J5</f>
        <v>2.3871814919020027</v>
      </c>
      <c r="M6" s="28">
        <f ca="1">'Debt worksheet'!K5/'Profit and Loss'!K5</f>
        <v>2.3842286378845743</v>
      </c>
      <c r="N6" s="28">
        <f ca="1">'Debt worksheet'!L5/'Profit and Loss'!L5</f>
        <v>2.3812332520045816</v>
      </c>
      <c r="O6" s="28">
        <f ca="1">'Debt worksheet'!M5/'Profit and Loss'!M5</f>
        <v>2.3772752392201637</v>
      </c>
      <c r="P6" s="28">
        <f ca="1">'Debt worksheet'!N5/'Profit and Loss'!N5</f>
        <v>2.3715153578401975</v>
      </c>
      <c r="Q6" s="28">
        <f ca="1">'Debt worksheet'!O5/'Profit and Loss'!O5</f>
        <v>2.363190386995595</v>
      </c>
      <c r="R6" s="28">
        <f ca="1">'Debt worksheet'!P5/'Profit and Loss'!P5</f>
        <v>2.3516085394243342</v>
      </c>
      <c r="S6" s="28">
        <f ca="1">'Debt worksheet'!Q5/'Profit and Loss'!Q5</f>
        <v>2.354431958324414</v>
      </c>
      <c r="T6" s="28">
        <f ca="1">'Debt worksheet'!R5/'Profit and Loss'!R5</f>
        <v>2.3603489422292712</v>
      </c>
      <c r="U6" s="28">
        <f ca="1">'Debt worksheet'!S5/'Profit and Loss'!S5</f>
        <v>2.3686781910165249</v>
      </c>
      <c r="V6" s="28">
        <f ca="1">'Debt worksheet'!T5/'Profit and Loss'!T5</f>
        <v>2.3787790651654781</v>
      </c>
      <c r="W6" s="28">
        <f ca="1">'Debt worksheet'!U5/'Profit and Loss'!U5</f>
        <v>2.3900498024305055</v>
      </c>
      <c r="X6" s="28">
        <f ca="1">'Debt worksheet'!V5/'Profit and Loss'!V5</f>
        <v>2.4019258028985155</v>
      </c>
      <c r="Y6" s="28">
        <f ca="1">'Debt worksheet'!W5/'Profit and Loss'!W5</f>
        <v>2.4138779799863483</v>
      </c>
      <c r="Z6" s="28">
        <f ca="1">'Debt worksheet'!X5/'Profit and Loss'!X5</f>
        <v>2.4254111750178482</v>
      </c>
      <c r="AA6" s="28">
        <f ca="1">'Debt worksheet'!Y5/'Profit and Loss'!Y5</f>
        <v>2.4360626331013933</v>
      </c>
      <c r="AB6" s="28">
        <f ca="1">'Debt worksheet'!Z5/'Profit and Loss'!Z5</f>
        <v>2.4454005381070196</v>
      </c>
      <c r="AC6" s="28">
        <f ca="1">'Debt worksheet'!AA5/'Profit and Loss'!AA5</f>
        <v>2.4530226046179826</v>
      </c>
      <c r="AD6" s="28">
        <f ca="1">'Debt worksheet'!AB5/'Profit and Loss'!AB5</f>
        <v>2.4585547248047934</v>
      </c>
      <c r="AE6" s="28">
        <f ca="1">'Debt worksheet'!AC5/'Profit and Loss'!AC5</f>
        <v>2.4616496682405016</v>
      </c>
      <c r="AF6" s="28">
        <f ca="1">'Debt worksheet'!AD5/'Profit and Loss'!AD5</f>
        <v>2.4619858327443351</v>
      </c>
      <c r="AG6" s="28">
        <f ca="1">'Debt worksheet'!AE5/'Profit and Loss'!AE5</f>
        <v>2.4592660444068972</v>
      </c>
      <c r="AH6" s="28">
        <f ca="1">'Debt worksheet'!AF5/'Profit and Loss'!AF5</f>
        <v>2.4532164050139422</v>
      </c>
      <c r="AI6" s="31"/>
    </row>
    <row r="7" spans="1:35" ht="21" x14ac:dyDescent="0.5">
      <c r="A7" s="19" t="s">
        <v>38</v>
      </c>
      <c r="B7" s="26">
        <f ca="1">MIN('Price and Financial ratios'!E7:AH7)</f>
        <v>0.20354674928443178</v>
      </c>
      <c r="C7" s="26"/>
      <c r="D7" s="26"/>
      <c r="E7" s="56">
        <f ca="1">'Cash Flow'!C7/'Debt worksheet'!C5</f>
        <v>0.20354674928443178</v>
      </c>
      <c r="F7" s="32">
        <f ca="1">'Cash Flow'!D7/'Debt worksheet'!D5</f>
        <v>0.21643321154518844</v>
      </c>
      <c r="G7" s="32">
        <f ca="1">'Cash Flow'!E7/'Debt worksheet'!E5</f>
        <v>0.22767695260141149</v>
      </c>
      <c r="H7" s="32">
        <f ca="1">'Cash Flow'!F7/'Debt worksheet'!F5</f>
        <v>0.24066357480074388</v>
      </c>
      <c r="I7" s="32">
        <f ca="1">'Cash Flow'!G7/'Debt worksheet'!G5</f>
        <v>0.24469929833116724</v>
      </c>
      <c r="J7" s="32">
        <f ca="1">'Cash Flow'!H7/'Debt worksheet'!H5</f>
        <v>0.24403589879692586</v>
      </c>
      <c r="K7" s="32">
        <f ca="1">'Cash Flow'!I7/'Debt worksheet'!I5</f>
        <v>0.24712105418614161</v>
      </c>
      <c r="L7" s="32">
        <f ca="1">'Cash Flow'!J7/'Debt worksheet'!J5</f>
        <v>0.24986663052646976</v>
      </c>
      <c r="M7" s="17">
        <f ca="1">'Cash Flow'!K7/'Debt worksheet'!K5</f>
        <v>0.2468781743017564</v>
      </c>
      <c r="N7" s="17">
        <f ca="1">'Cash Flow'!L7/'Debt worksheet'!L5</f>
        <v>0.24425346594318209</v>
      </c>
      <c r="O7" s="17">
        <f ca="1">'Cash Flow'!M7/'Debt worksheet'!M5</f>
        <v>0.24207976278586288</v>
      </c>
      <c r="P7" s="17">
        <f ca="1">'Cash Flow'!N7/'Debt worksheet'!N5</f>
        <v>0.24043393320520395</v>
      </c>
      <c r="Q7" s="17">
        <f ca="1">'Cash Flow'!O7/'Debt worksheet'!O5</f>
        <v>0.23938541050127962</v>
      </c>
      <c r="R7" s="17">
        <f ca="1">'Cash Flow'!P7/'Debt worksheet'!P5</f>
        <v>0.23899930332434102</v>
      </c>
      <c r="S7" s="17">
        <f ca="1">'Cash Flow'!Q7/'Debt worksheet'!Q5</f>
        <v>0.23589431685274689</v>
      </c>
      <c r="T7" s="17">
        <f ca="1">'Cash Flow'!R7/'Debt worksheet'!R5</f>
        <v>0.23266874250729203</v>
      </c>
      <c r="U7" s="17">
        <f ca="1">'Cash Flow'!S7/'Debt worksheet'!S5</f>
        <v>0.22940190391084059</v>
      </c>
      <c r="V7" s="17">
        <f ca="1">'Cash Flow'!T7/'Debt worksheet'!T5</f>
        <v>0.22616469084769211</v>
      </c>
      <c r="W7" s="17">
        <f ca="1">'Cash Flow'!U7/'Debt worksheet'!U5</f>
        <v>0.2230195084968806</v>
      </c>
      <c r="X7" s="17">
        <f ca="1">'Cash Flow'!V7/'Debt worksheet'!V5</f>
        <v>0.22002064036645866</v>
      </c>
      <c r="Y7" s="17">
        <f ca="1">'Cash Flow'!W7/'Debt worksheet'!W5</f>
        <v>0.21721490420147463</v>
      </c>
      <c r="Z7" s="17">
        <f ca="1">'Cash Flow'!X7/'Debt worksheet'!X5</f>
        <v>0.21464249736912197</v>
      </c>
      <c r="AA7" s="17">
        <f ca="1">'Cash Flow'!Y7/'Debt worksheet'!Y5</f>
        <v>0.21233794905513925</v>
      </c>
      <c r="AB7" s="17">
        <f ca="1">'Cash Flow'!Z7/'Debt worksheet'!Z5</f>
        <v>0.21033111770150401</v>
      </c>
      <c r="AC7" s="17">
        <f ca="1">'Cash Flow'!AA7/'Debt worksheet'!AA5</f>
        <v>0.20864819144804619</v>
      </c>
      <c r="AD7" s="17">
        <f ca="1">'Cash Flow'!AB7/'Debt worksheet'!AB5</f>
        <v>0.20731266592622374</v>
      </c>
      <c r="AE7" s="17">
        <f ca="1">'Cash Flow'!AC7/'Debt worksheet'!AC5</f>
        <v>0.20634628735203295</v>
      </c>
      <c r="AF7" s="17">
        <f ca="1">'Cash Flow'!AD7/'Debt worksheet'!AD5</f>
        <v>0.20576995971101172</v>
      </c>
      <c r="AG7" s="17">
        <f ca="1">'Cash Flow'!AE7/'Debt worksheet'!AE5</f>
        <v>0.20560462342307775</v>
      </c>
      <c r="AH7" s="17">
        <f ca="1">'Cash Flow'!AF7/'Debt worksheet'!AF5</f>
        <v>0.20587211984922055</v>
      </c>
      <c r="AI7" s="29"/>
    </row>
    <row r="8" spans="1:35" ht="21" x14ac:dyDescent="0.5">
      <c r="A8" s="19" t="s">
        <v>33</v>
      </c>
      <c r="B8" s="26">
        <f ca="1">MAX('Price and Financial ratios'!E8:AH8)</f>
        <v>0.41453226608632732</v>
      </c>
      <c r="C8" s="26"/>
      <c r="D8" s="176"/>
      <c r="E8" s="17">
        <f>'Balance Sheet'!B11/'Balance Sheet'!B8</f>
        <v>0.23947223259883069</v>
      </c>
      <c r="F8" s="17">
        <f ca="1">'Balance Sheet'!C11/'Balance Sheet'!C8</f>
        <v>0.34693648226065665</v>
      </c>
      <c r="G8" s="17">
        <f ca="1">'Balance Sheet'!D11/'Balance Sheet'!D8</f>
        <v>0.38987318747277028</v>
      </c>
      <c r="H8" s="17">
        <f ca="1">'Balance Sheet'!E11/'Balance Sheet'!E8</f>
        <v>0.41006301259446204</v>
      </c>
      <c r="I8" s="17">
        <f ca="1">'Balance Sheet'!F11/'Balance Sheet'!F8</f>
        <v>0.41453226608632732</v>
      </c>
      <c r="J8" s="17">
        <f ca="1">'Balance Sheet'!G11/'Balance Sheet'!G8</f>
        <v>0.41213593547907618</v>
      </c>
      <c r="K8" s="17">
        <f ca="1">'Balance Sheet'!H11/'Balance Sheet'!H8</f>
        <v>0.40739973648402733</v>
      </c>
      <c r="L8" s="17">
        <f ca="1">'Balance Sheet'!I11/'Balance Sheet'!I8</f>
        <v>0.40011742235093345</v>
      </c>
      <c r="M8" s="17">
        <f ca="1">'Balance Sheet'!J11/'Balance Sheet'!J8</f>
        <v>0.39160094042555404</v>
      </c>
      <c r="N8" s="17">
        <f ca="1">'Balance Sheet'!K11/'Balance Sheet'!K8</f>
        <v>0.38464943160820392</v>
      </c>
      <c r="O8" s="17">
        <f ca="1">'Balance Sheet'!L11/'Balance Sheet'!L8</f>
        <v>0.37888234320701203</v>
      </c>
      <c r="P8" s="17">
        <f ca="1">'Balance Sheet'!M11/'Balance Sheet'!M8</f>
        <v>0.37398679809348012</v>
      </c>
      <c r="Q8" s="17">
        <f ca="1">'Balance Sheet'!N11/'Balance Sheet'!N8</f>
        <v>0.3697005762939633</v>
      </c>
      <c r="R8" s="17">
        <f ca="1">'Balance Sheet'!O11/'Balance Sheet'!O8</f>
        <v>0.36579984037266655</v>
      </c>
      <c r="S8" s="17">
        <f ca="1">'Balance Sheet'!P11/'Balance Sheet'!P8</f>
        <v>0.36209012527183704</v>
      </c>
      <c r="T8" s="17">
        <f ca="1">'Balance Sheet'!Q11/'Balance Sheet'!Q8</f>
        <v>0.35957363988335433</v>
      </c>
      <c r="U8" s="17">
        <f ca="1">'Balance Sheet'!R11/'Balance Sheet'!R8</f>
        <v>0.35806006578462118</v>
      </c>
      <c r="V8" s="17">
        <f ca="1">'Balance Sheet'!S11/'Balance Sheet'!S8</f>
        <v>0.35738468177959043</v>
      </c>
      <c r="W8" s="17">
        <f ca="1">'Balance Sheet'!T11/'Balance Sheet'!T8</f>
        <v>0.35740336155925917</v>
      </c>
      <c r="X8" s="17">
        <f ca="1">'Balance Sheet'!U11/'Balance Sheet'!U8</f>
        <v>0.35798866094348103</v>
      </c>
      <c r="Y8" s="17">
        <f ca="1">'Balance Sheet'!V11/'Balance Sheet'!V8</f>
        <v>0.35902672659411811</v>
      </c>
      <c r="Z8" s="17">
        <f ca="1">'Balance Sheet'!W11/'Balance Sheet'!W8</f>
        <v>0.36041483090883081</v>
      </c>
      <c r="AA8" s="17">
        <f ca="1">'Balance Sheet'!X11/'Balance Sheet'!X8</f>
        <v>0.36205938910390539</v>
      </c>
      <c r="AB8" s="17">
        <f ca="1">'Balance Sheet'!Y11/'Balance Sheet'!Y8</f>
        <v>0.3638743511152433</v>
      </c>
      <c r="AC8" s="17">
        <f ca="1">'Balance Sheet'!Z11/'Balance Sheet'!Z8</f>
        <v>0.36577988741179418</v>
      </c>
      <c r="AD8" s="17">
        <f ca="1">'Balance Sheet'!AA11/'Balance Sheet'!AA8</f>
        <v>0.36770130716099214</v>
      </c>
      <c r="AE8" s="17">
        <f ca="1">'Balance Sheet'!AB11/'Balance Sheet'!AB8</f>
        <v>0.36956816147763416</v>
      </c>
      <c r="AF8" s="17">
        <f ca="1">'Balance Sheet'!AC11/'Balance Sheet'!AC8</f>
        <v>0.37131349515145839</v>
      </c>
      <c r="AG8" s="17">
        <f ca="1">'Balance Sheet'!AD11/'Balance Sheet'!AD8</f>
        <v>0.3728732182796855</v>
      </c>
      <c r="AH8" s="17">
        <f ca="1">'Balance Sheet'!AE11/'Balance Sheet'!AE8</f>
        <v>0.37418557533191854</v>
      </c>
      <c r="AI8" s="29"/>
    </row>
    <row r="9" spans="1:35" ht="21.5" thickBot="1" x14ac:dyDescent="0.55000000000000004">
      <c r="A9" s="20" t="s">
        <v>32</v>
      </c>
      <c r="B9" s="21">
        <f ca="1">MIN('Price and Financial ratios'!E9:AH9)</f>
        <v>4.973565228039531</v>
      </c>
      <c r="C9" s="21"/>
      <c r="D9" s="177"/>
      <c r="E9" s="21">
        <f ca="1">('Cash Flow'!C7+'Profit and Loss'!C8)/('Profit and Loss'!C8)</f>
        <v>4.973565228039531</v>
      </c>
      <c r="F9" s="21">
        <f ca="1">('Cash Flow'!D7+'Profit and Loss'!D8)/('Profit and Loss'!D8)</f>
        <v>5.8967616866407768</v>
      </c>
      <c r="G9" s="21">
        <f ca="1">('Cash Flow'!E7+'Profit and Loss'!E8)/('Profit and Loss'!E8)</f>
        <v>6.5540355280850155</v>
      </c>
      <c r="H9" s="21">
        <f ca="1">('Cash Flow'!F7+'Profit and Loss'!F8)/('Profit and Loss'!F8)</f>
        <v>7.1547244219872068</v>
      </c>
      <c r="I9" s="21">
        <f ca="1">('Cash Flow'!G7+'Profit and Loss'!G8)/('Profit and Loss'!G8)</f>
        <v>7.4037138150294606</v>
      </c>
      <c r="J9" s="21">
        <f ca="1">('Cash Flow'!H7+'Profit and Loss'!H8)/('Profit and Loss'!H8)</f>
        <v>7.4584305673794873</v>
      </c>
      <c r="K9" s="21">
        <f ca="1">('Cash Flow'!I7+'Profit and Loss'!I8)/('Profit and Loss'!I8)</f>
        <v>7.6137329204624544</v>
      </c>
      <c r="L9" s="21">
        <f ca="1">('Cash Flow'!J7+'Profit and Loss'!J8)/('Profit and Loss'!J8)</f>
        <v>7.7382056374552199</v>
      </c>
      <c r="M9" s="21">
        <f ca="1">('Cash Flow'!K7+'Profit and Loss'!K8)/('Profit and Loss'!K8)</f>
        <v>7.6577444395812932</v>
      </c>
      <c r="N9" s="21">
        <f ca="1">('Cash Flow'!L7+'Profit and Loss'!L8)/('Profit and Loss'!L8)</f>
        <v>7.5896396848771088</v>
      </c>
      <c r="O9" s="21">
        <f ca="1">('Cash Flow'!M7+'Profit and Loss'!M8)/('Profit and Loss'!M8)</f>
        <v>7.535976355474431</v>
      </c>
      <c r="P9" s="21">
        <f ca="1">('Cash Flow'!N7+'Profit and Loss'!N8)/('Profit and Loss'!N8)</f>
        <v>7.4986246415420323</v>
      </c>
      <c r="Q9" s="21">
        <f ca="1">('Cash Flow'!O7+'Profit and Loss'!O8)/('Profit and Loss'!O8)</f>
        <v>7.479325874547941</v>
      </c>
      <c r="R9" s="21">
        <f ca="1">('Cash Flow'!P7+'Profit and Loss'!P8)/('Profit and Loss'!P8)</f>
        <v>7.4797807334165922</v>
      </c>
      <c r="S9" s="21">
        <f ca="1">('Cash Flow'!Q7+'Profit and Loss'!Q8)/('Profit and Loss'!Q8)</f>
        <v>7.3872247955576551</v>
      </c>
      <c r="T9" s="21">
        <f ca="1">('Cash Flow'!R7+'Profit and Loss'!R8)/('Profit and Loss'!R8)</f>
        <v>7.2935108262889186</v>
      </c>
      <c r="U9" s="21">
        <f ca="1">('Cash Flow'!S7+'Profit and Loss'!S8)/('Profit and Loss'!S8)</f>
        <v>7.2006006627849102</v>
      </c>
      <c r="V9" s="21">
        <f ca="1">('Cash Flow'!T7+'Profit and Loss'!T8)/('Profit and Loss'!T8)</f>
        <v>7.1102186451908151</v>
      </c>
      <c r="W9" s="21">
        <f ca="1">('Cash Flow'!U7+'Profit and Loss'!U8)/('Profit and Loss'!U8)</f>
        <v>7.0238619166070464</v>
      </c>
      <c r="X9" s="21">
        <f ca="1">('Cash Flow'!V7+'Profit and Loss'!V8)/('Profit and Loss'!V8)</f>
        <v>6.942818815775297</v>
      </c>
      <c r="Y9" s="21">
        <f ca="1">('Cash Flow'!W7+'Profit and Loss'!W8)/('Profit and Loss'!W8)</f>
        <v>6.8681924808110546</v>
      </c>
      <c r="Z9" s="21">
        <f ca="1">('Cash Flow'!X7+'Profit and Loss'!X8)/('Profit and Loss'!X8)</f>
        <v>6.8009273644756707</v>
      </c>
      <c r="AA9" s="21">
        <f ca="1">('Cash Flow'!Y7+'Profit and Loss'!Y8)/('Profit and Loss'!Y8)</f>
        <v>6.7418369496041111</v>
      </c>
      <c r="AB9" s="21">
        <f ca="1">('Cash Flow'!Z7+'Profit and Loss'!Z8)/('Profit and Loss'!Z8)</f>
        <v>6.6916314912255199</v>
      </c>
      <c r="AC9" s="21">
        <f ca="1">('Cash Flow'!AA7+'Profit and Loss'!AA8)/('Profit and Loss'!AA8)</f>
        <v>6.6509450725156611</v>
      </c>
      <c r="AD9" s="21">
        <f ca="1">('Cash Flow'!AB7+'Profit and Loss'!AB8)/('Profit and Loss'!AB8)</f>
        <v>6.6203616385226649</v>
      </c>
      <c r="AE9" s="21">
        <f ca="1">('Cash Flow'!AC7+'Profit and Loss'!AC8)/('Profit and Loss'!AC8)</f>
        <v>6.6004399712424053</v>
      </c>
      <c r="AF9" s="21">
        <f ca="1">('Cash Flow'!AD7+'Profit and Loss'!AD8)/('Profit and Loss'!AD8)</f>
        <v>6.5917378060779246</v>
      </c>
      <c r="AG9" s="21">
        <f ca="1">('Cash Flow'!AE7+'Profit and Loss'!AE8)/('Profit and Loss'!AE8)</f>
        <v>6.5948354804970819</v>
      </c>
      <c r="AH9" s="21">
        <f ca="1">('Cash Flow'!AF7+'Profit and Loss'!AF8)/('Profit and Loss'!AF8)</f>
        <v>6.6103596696498261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6426165.1002560053</v>
      </c>
      <c r="D5" s="1">
        <f>Assumptions!E111</f>
        <v>6426165.1002560053</v>
      </c>
      <c r="E5" s="1">
        <f>Assumptions!F111</f>
        <v>6426165.1002560053</v>
      </c>
      <c r="F5" s="1">
        <f>Assumptions!G111</f>
        <v>6426165.1002560053</v>
      </c>
      <c r="G5" s="1">
        <f>Assumptions!H111</f>
        <v>6426165.1002560053</v>
      </c>
      <c r="H5" s="1">
        <f>Assumptions!I111</f>
        <v>6426165.1002560053</v>
      </c>
      <c r="I5" s="1">
        <f>Assumptions!J111</f>
        <v>6426165.1002560053</v>
      </c>
      <c r="J5" s="1">
        <f>Assumptions!K111</f>
        <v>6426165.1002560053</v>
      </c>
      <c r="K5" s="1">
        <f>Assumptions!L111</f>
        <v>6426165.1002560053</v>
      </c>
      <c r="L5" s="1">
        <f>Assumptions!M111</f>
        <v>6426165.1002560053</v>
      </c>
      <c r="M5" s="1">
        <f>Assumptions!N111</f>
        <v>6426165.1002560053</v>
      </c>
      <c r="N5" s="1">
        <f>Assumptions!O111</f>
        <v>6426165.1002560053</v>
      </c>
      <c r="O5" s="1">
        <f>Assumptions!P111</f>
        <v>6426165.1002560053</v>
      </c>
      <c r="P5" s="1">
        <f>Assumptions!Q111</f>
        <v>6426165.1002560053</v>
      </c>
      <c r="Q5" s="1">
        <f>Assumptions!R111</f>
        <v>6426165.1002560053</v>
      </c>
      <c r="R5" s="1">
        <f>Assumptions!S111</f>
        <v>6426165.1002560053</v>
      </c>
      <c r="S5" s="1">
        <f>Assumptions!T111</f>
        <v>6426165.1002560053</v>
      </c>
      <c r="T5" s="1">
        <f>Assumptions!U111</f>
        <v>6426165.1002560053</v>
      </c>
      <c r="U5" s="1">
        <f>Assumptions!V111</f>
        <v>6426165.1002560053</v>
      </c>
      <c r="V5" s="1">
        <f>Assumptions!W111</f>
        <v>6426165.1002560053</v>
      </c>
      <c r="W5" s="1">
        <f>Assumptions!X111</f>
        <v>6426165.1002560053</v>
      </c>
      <c r="X5" s="1">
        <f>Assumptions!Y111</f>
        <v>6426165.1002560053</v>
      </c>
      <c r="Y5" s="1">
        <f>Assumptions!Z111</f>
        <v>6426165.1002560053</v>
      </c>
      <c r="Z5" s="1">
        <f>Assumptions!AA111</f>
        <v>6426165.1002560053</v>
      </c>
      <c r="AA5" s="1">
        <f>Assumptions!AB111</f>
        <v>6426165.1002560053</v>
      </c>
      <c r="AB5" s="1">
        <f>Assumptions!AC111</f>
        <v>6426165.1002560053</v>
      </c>
      <c r="AC5" s="1">
        <f>Assumptions!AD111</f>
        <v>6426165.1002560053</v>
      </c>
      <c r="AD5" s="1">
        <f>Assumptions!AE111</f>
        <v>6426165.1002560053</v>
      </c>
      <c r="AE5" s="1">
        <f>Assumptions!AF111</f>
        <v>6426165.1002560053</v>
      </c>
      <c r="AF5" s="1">
        <f>Assumptions!AG111</f>
        <v>6426165.1002560053</v>
      </c>
    </row>
    <row r="6" spans="1:32" x14ac:dyDescent="0.35">
      <c r="A6" t="s">
        <v>68</v>
      </c>
      <c r="C6" s="1">
        <f>Assumptions!D113</f>
        <v>25759132.721737362</v>
      </c>
      <c r="D6" s="1">
        <f>Assumptions!E113</f>
        <v>25759132.721737362</v>
      </c>
      <c r="E6" s="1">
        <f>Assumptions!F113</f>
        <v>25759132.721737362</v>
      </c>
      <c r="F6" s="1">
        <f>Assumptions!G113</f>
        <v>25759132.721737362</v>
      </c>
      <c r="G6" s="1">
        <f>Assumptions!H113</f>
        <v>25759132.721737362</v>
      </c>
      <c r="H6" s="1">
        <f>Assumptions!I113</f>
        <v>25759132.721737362</v>
      </c>
      <c r="I6" s="1">
        <f>Assumptions!J113</f>
        <v>25759132.721737362</v>
      </c>
      <c r="J6" s="1">
        <f>Assumptions!K113</f>
        <v>25759132.721737362</v>
      </c>
      <c r="K6" s="1">
        <f>Assumptions!L113</f>
        <v>25759132.721737362</v>
      </c>
      <c r="L6" s="1">
        <f>Assumptions!M113</f>
        <v>25759132.721737362</v>
      </c>
      <c r="M6" s="1">
        <f>Assumptions!N113</f>
        <v>25759132.721737362</v>
      </c>
      <c r="N6" s="1">
        <f>Assumptions!O113</f>
        <v>25759132.721737362</v>
      </c>
      <c r="O6" s="1">
        <f>Assumptions!P113</f>
        <v>25759132.721737362</v>
      </c>
      <c r="P6" s="1">
        <f>Assumptions!Q113</f>
        <v>25759132.721737362</v>
      </c>
      <c r="Q6" s="1">
        <f>Assumptions!R113</f>
        <v>25759132.721737362</v>
      </c>
      <c r="R6" s="1">
        <f>Assumptions!S113</f>
        <v>25759132.721737362</v>
      </c>
      <c r="S6" s="1">
        <f>Assumptions!T113</f>
        <v>25759132.721737362</v>
      </c>
      <c r="T6" s="1">
        <f>Assumptions!U113</f>
        <v>25759132.721737362</v>
      </c>
      <c r="U6" s="1">
        <f>Assumptions!V113</f>
        <v>25759132.721737362</v>
      </c>
      <c r="V6" s="1">
        <f>Assumptions!W113</f>
        <v>25759132.721737362</v>
      </c>
      <c r="W6" s="1">
        <f>Assumptions!X113</f>
        <v>25759132.721737362</v>
      </c>
      <c r="X6" s="1">
        <f>Assumptions!Y113</f>
        <v>25759132.721737362</v>
      </c>
      <c r="Y6" s="1">
        <f>Assumptions!Z113</f>
        <v>25759132.721737362</v>
      </c>
      <c r="Z6" s="1">
        <f>Assumptions!AA113</f>
        <v>25759132.721737362</v>
      </c>
      <c r="AA6" s="1">
        <f>Assumptions!AB113</f>
        <v>25759132.721737362</v>
      </c>
      <c r="AB6" s="1">
        <f>Assumptions!AC113</f>
        <v>25759132.721737362</v>
      </c>
      <c r="AC6" s="1">
        <f>Assumptions!AD113</f>
        <v>25759132.721737362</v>
      </c>
      <c r="AD6" s="1">
        <f>Assumptions!AE113</f>
        <v>25759132.721737362</v>
      </c>
      <c r="AE6" s="1">
        <f>Assumptions!AF113</f>
        <v>25759132.721737362</v>
      </c>
      <c r="AF6" s="1">
        <f>Assumptions!AG113</f>
        <v>25759132.721737362</v>
      </c>
    </row>
    <row r="7" spans="1:32" x14ac:dyDescent="0.35">
      <c r="A7" t="s">
        <v>73</v>
      </c>
      <c r="C7" s="1">
        <f>Assumptions!D120</f>
        <v>618219.18532169668</v>
      </c>
      <c r="D7" s="1">
        <f>Assumptions!E120</f>
        <v>1236438.3706433934</v>
      </c>
      <c r="E7" s="1">
        <f>Assumptions!F120</f>
        <v>1854657.5559650902</v>
      </c>
      <c r="F7" s="1">
        <f>Assumptions!G120</f>
        <v>2472876.7412867867</v>
      </c>
      <c r="G7" s="1">
        <f>Assumptions!H120</f>
        <v>3091095.9266084828</v>
      </c>
      <c r="H7" s="1">
        <f>Assumptions!I120</f>
        <v>3709315.1119301794</v>
      </c>
      <c r="I7" s="1">
        <f>Assumptions!J120</f>
        <v>4327534.2972518764</v>
      </c>
      <c r="J7" s="1">
        <f>Assumptions!K120</f>
        <v>4945753.4825735725</v>
      </c>
      <c r="K7" s="1">
        <f>Assumptions!L120</f>
        <v>5563972.6678952696</v>
      </c>
      <c r="L7" s="1">
        <f>Assumptions!M120</f>
        <v>6182191.8532169648</v>
      </c>
      <c r="M7" s="1">
        <f>Assumptions!N120</f>
        <v>6800411.0385386627</v>
      </c>
      <c r="N7" s="1">
        <f>Assumptions!O120</f>
        <v>7418630.2238603588</v>
      </c>
      <c r="O7" s="1">
        <f>Assumptions!P120</f>
        <v>8036849.4091820568</v>
      </c>
      <c r="P7" s="1">
        <f>Assumptions!Q120</f>
        <v>8655068.5945037547</v>
      </c>
      <c r="Q7" s="1">
        <f>Assumptions!R120</f>
        <v>9273287.7798254509</v>
      </c>
      <c r="R7" s="1">
        <f>Assumptions!S120</f>
        <v>9891506.9651471488</v>
      </c>
      <c r="S7" s="1">
        <f>Assumptions!T120</f>
        <v>10509726.150468845</v>
      </c>
      <c r="T7" s="1">
        <f>Assumptions!U120</f>
        <v>11127945.335790543</v>
      </c>
      <c r="U7" s="1">
        <f>Assumptions!V120</f>
        <v>11746164.521112239</v>
      </c>
      <c r="V7" s="1">
        <f>Assumptions!W120</f>
        <v>12364383.706433939</v>
      </c>
      <c r="W7" s="1">
        <f>Assumptions!X120</f>
        <v>12982602.891755633</v>
      </c>
      <c r="X7" s="1">
        <f>Assumptions!Y120</f>
        <v>13600822.077077329</v>
      </c>
      <c r="Y7" s="1">
        <f>Assumptions!Z120</f>
        <v>14219041.262399027</v>
      </c>
      <c r="Z7" s="1">
        <f>Assumptions!AA120</f>
        <v>14837260.447720727</v>
      </c>
      <c r="AA7" s="1">
        <f>Assumptions!AB120</f>
        <v>15455479.633042421</v>
      </c>
      <c r="AB7" s="1">
        <f>Assumptions!AC120</f>
        <v>16073698.818364119</v>
      </c>
      <c r="AC7" s="1">
        <f>Assumptions!AD120</f>
        <v>16691918.003685815</v>
      </c>
      <c r="AD7" s="1">
        <f>Assumptions!AE120</f>
        <v>17310137.189007513</v>
      </c>
      <c r="AE7" s="1">
        <f>Assumptions!AF120</f>
        <v>17928356.374329213</v>
      </c>
      <c r="AF7" s="1">
        <f>Assumptions!AG120</f>
        <v>18546575.559650909</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6631802.3834641976</v>
      </c>
      <c r="D11" s="1">
        <f>D5*D$9</f>
        <v>6844020.0597350514</v>
      </c>
      <c r="E11" s="1">
        <f t="shared" ref="D11:AF13" si="1">E5*E$9</f>
        <v>7063028.7016465729</v>
      </c>
      <c r="F11" s="1">
        <f t="shared" si="1"/>
        <v>7289045.6200992633</v>
      </c>
      <c r="G11" s="1">
        <f t="shared" si="1"/>
        <v>7522295.0799424406</v>
      </c>
      <c r="H11" s="1">
        <f t="shared" si="1"/>
        <v>7763008.5225005979</v>
      </c>
      <c r="I11" s="1">
        <f t="shared" si="1"/>
        <v>8011424.7952206153</v>
      </c>
      <c r="J11" s="1">
        <f t="shared" si="1"/>
        <v>8267790.3886676766</v>
      </c>
      <c r="K11" s="1">
        <f t="shared" si="1"/>
        <v>8532359.6811050437</v>
      </c>
      <c r="L11" s="1">
        <f t="shared" si="1"/>
        <v>8805395.190900404</v>
      </c>
      <c r="M11" s="1">
        <f t="shared" si="1"/>
        <v>9087167.8370092157</v>
      </c>
      <c r="N11" s="1">
        <f t="shared" si="1"/>
        <v>9377957.2077935115</v>
      </c>
      <c r="O11" s="1">
        <f t="shared" si="1"/>
        <v>9678051.8384429049</v>
      </c>
      <c r="P11" s="1">
        <f t="shared" si="1"/>
        <v>9987749.4972730763</v>
      </c>
      <c r="Q11" s="1">
        <f t="shared" si="1"/>
        <v>10307357.481185813</v>
      </c>
      <c r="R11" s="1">
        <f t="shared" si="1"/>
        <v>10637192.92058376</v>
      </c>
      <c r="S11" s="1">
        <f t="shared" si="1"/>
        <v>10977583.094042443</v>
      </c>
      <c r="T11" s="1">
        <f t="shared" si="1"/>
        <v>11328865.753051799</v>
      </c>
      <c r="U11" s="1">
        <f t="shared" si="1"/>
        <v>11691389.457149455</v>
      </c>
      <c r="V11" s="1">
        <f t="shared" si="1"/>
        <v>12065513.919778239</v>
      </c>
      <c r="W11" s="1">
        <f t="shared" si="1"/>
        <v>12451610.365211144</v>
      </c>
      <c r="X11" s="1">
        <f t="shared" si="1"/>
        <v>12850061.896897899</v>
      </c>
      <c r="Y11" s="1">
        <f t="shared" si="1"/>
        <v>13261263.87759863</v>
      </c>
      <c r="Z11" s="1">
        <f t="shared" si="1"/>
        <v>13685624.321681786</v>
      </c>
      <c r="AA11" s="1">
        <f t="shared" si="1"/>
        <v>14123564.299975608</v>
      </c>
      <c r="AB11" s="1">
        <f t="shared" si="1"/>
        <v>14575518.357574824</v>
      </c>
      <c r="AC11" s="1">
        <f t="shared" si="1"/>
        <v>15041934.945017217</v>
      </c>
      <c r="AD11" s="1">
        <f t="shared" si="1"/>
        <v>15523276.863257769</v>
      </c>
      <c r="AE11" s="1">
        <f t="shared" si="1"/>
        <v>16020021.722882017</v>
      </c>
      <c r="AF11" s="1">
        <f t="shared" si="1"/>
        <v>16532662.41801424</v>
      </c>
    </row>
    <row r="12" spans="1:32" x14ac:dyDescent="0.35">
      <c r="A12" t="s">
        <v>71</v>
      </c>
      <c r="C12" s="1">
        <f t="shared" ref="C12:R12" si="2">C6*C$9</f>
        <v>26583424.968832958</v>
      </c>
      <c r="D12" s="1">
        <f t="shared" si="2"/>
        <v>27434094.56783561</v>
      </c>
      <c r="E12" s="1">
        <f t="shared" si="2"/>
        <v>28311985.594006348</v>
      </c>
      <c r="F12" s="1">
        <f t="shared" si="2"/>
        <v>29217969.133014552</v>
      </c>
      <c r="G12" s="1">
        <f t="shared" si="2"/>
        <v>30152944.145271022</v>
      </c>
      <c r="H12" s="1">
        <f t="shared" si="2"/>
        <v>31117838.357919689</v>
      </c>
      <c r="I12" s="1">
        <f t="shared" si="2"/>
        <v>32113609.185373116</v>
      </c>
      <c r="J12" s="1">
        <f t="shared" si="2"/>
        <v>33141244.679305062</v>
      </c>
      <c r="K12" s="1">
        <f t="shared" si="2"/>
        <v>34201764.509042829</v>
      </c>
      <c r="L12" s="1">
        <f t="shared" si="2"/>
        <v>35296220.973332189</v>
      </c>
      <c r="M12" s="1">
        <f t="shared" si="2"/>
        <v>36425700.044478819</v>
      </c>
      <c r="N12" s="1">
        <f t="shared" si="2"/>
        <v>37591322.445902146</v>
      </c>
      <c r="O12" s="1">
        <f t="shared" si="2"/>
        <v>38794244.764171019</v>
      </c>
      <c r="P12" s="1">
        <f t="shared" si="2"/>
        <v>40035660.596624486</v>
      </c>
      <c r="Q12" s="1">
        <f t="shared" si="2"/>
        <v>41316801.735716462</v>
      </c>
      <c r="R12" s="1">
        <f t="shared" si="2"/>
        <v>42638939.391259395</v>
      </c>
      <c r="S12" s="1">
        <f t="shared" si="1"/>
        <v>44003385.451779701</v>
      </c>
      <c r="T12" s="1">
        <f t="shared" si="1"/>
        <v>45411493.786236644</v>
      </c>
      <c r="U12" s="1">
        <f t="shared" si="1"/>
        <v>46864661.587396212</v>
      </c>
      <c r="V12" s="1">
        <f t="shared" si="1"/>
        <v>48364330.758192897</v>
      </c>
      <c r="W12" s="1">
        <f t="shared" si="1"/>
        <v>49911989.342455074</v>
      </c>
      <c r="X12" s="1">
        <f t="shared" si="1"/>
        <v>51509173.001413628</v>
      </c>
      <c r="Y12" s="1">
        <f t="shared" si="1"/>
        <v>53157466.537458859</v>
      </c>
      <c r="Z12" s="1">
        <f t="shared" si="1"/>
        <v>54858505.466657542</v>
      </c>
      <c r="AA12" s="1">
        <f t="shared" si="1"/>
        <v>56613977.641590603</v>
      </c>
      <c r="AB12" s="1">
        <f t="shared" si="1"/>
        <v>58425624.926121488</v>
      </c>
      <c r="AC12" s="1">
        <f t="shared" si="1"/>
        <v>60295244.923757374</v>
      </c>
      <c r="AD12" s="1">
        <f t="shared" si="1"/>
        <v>62224692.761317618</v>
      </c>
      <c r="AE12" s="1">
        <f t="shared" si="1"/>
        <v>64215882.929679781</v>
      </c>
      <c r="AF12" s="1">
        <f t="shared" si="1"/>
        <v>66270791.183429524</v>
      </c>
    </row>
    <row r="13" spans="1:32" x14ac:dyDescent="0.35">
      <c r="A13" t="s">
        <v>74</v>
      </c>
      <c r="C13" s="1">
        <f>C7*C$9</f>
        <v>638002.199251991</v>
      </c>
      <c r="D13" s="1">
        <f t="shared" si="1"/>
        <v>1316836.5392561094</v>
      </c>
      <c r="E13" s="1">
        <f t="shared" si="1"/>
        <v>2038462.9627684574</v>
      </c>
      <c r="F13" s="1">
        <f t="shared" si="1"/>
        <v>2804925.0367693971</v>
      </c>
      <c r="G13" s="1">
        <f t="shared" si="1"/>
        <v>3618353.2974325218</v>
      </c>
      <c r="H13" s="1">
        <f t="shared" si="1"/>
        <v>4480968.7235404346</v>
      </c>
      <c r="I13" s="1">
        <f t="shared" si="1"/>
        <v>5395086.3431426827</v>
      </c>
      <c r="J13" s="1">
        <f t="shared" si="1"/>
        <v>6363118.9784265701</v>
      </c>
      <c r="K13" s="1">
        <f t="shared" si="1"/>
        <v>7387581.1339532491</v>
      </c>
      <c r="L13" s="1">
        <f t="shared" si="1"/>
        <v>8471093.0335997231</v>
      </c>
      <c r="M13" s="1">
        <f t="shared" si="1"/>
        <v>9616384.8117424082</v>
      </c>
      <c r="N13" s="1">
        <f t="shared" si="1"/>
        <v>10826300.864419816</v>
      </c>
      <c r="O13" s="1">
        <f t="shared" si="1"/>
        <v>12103804.366421357</v>
      </c>
      <c r="P13" s="1">
        <f t="shared" si="1"/>
        <v>13451981.960465828</v>
      </c>
      <c r="Q13" s="1">
        <f t="shared" si="1"/>
        <v>14874048.624857927</v>
      </c>
      <c r="R13" s="1">
        <f t="shared" si="1"/>
        <v>16373352.726243611</v>
      </c>
      <c r="S13" s="1">
        <f t="shared" si="1"/>
        <v>17953381.264326118</v>
      </c>
      <c r="T13" s="1">
        <f t="shared" si="1"/>
        <v>19617765.315654233</v>
      </c>
      <c r="U13" s="1">
        <f t="shared" si="1"/>
        <v>21370285.683852676</v>
      </c>
      <c r="V13" s="1">
        <f t="shared" si="1"/>
        <v>23214878.763932601</v>
      </c>
      <c r="W13" s="1">
        <f t="shared" si="1"/>
        <v>25155642.628597364</v>
      </c>
      <c r="X13" s="1">
        <f t="shared" si="1"/>
        <v>27196843.3447464</v>
      </c>
      <c r="Y13" s="1">
        <f t="shared" si="1"/>
        <v>29342921.528677296</v>
      </c>
      <c r="Z13" s="1">
        <f t="shared" si="1"/>
        <v>31598499.148794759</v>
      </c>
      <c r="AA13" s="1">
        <f t="shared" si="1"/>
        <v>33968386.584954366</v>
      </c>
      <c r="AB13" s="1">
        <f t="shared" si="1"/>
        <v>36457589.953899823</v>
      </c>
      <c r="AC13" s="1">
        <f t="shared" si="1"/>
        <v>39071318.710594788</v>
      </c>
      <c r="AD13" s="1">
        <f t="shared" si="1"/>
        <v>41814993.535605453</v>
      </c>
      <c r="AE13" s="1">
        <f t="shared" si="1"/>
        <v>44694254.519057147</v>
      </c>
      <c r="AF13" s="1">
        <f t="shared" si="1"/>
        <v>47714969.652069278</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33853229.551549152</v>
      </c>
      <c r="D25" s="40">
        <f>SUM(D11:D13,D18:D23)</f>
        <v>35594951.16682677</v>
      </c>
      <c r="E25" s="40">
        <f t="shared" ref="E25:AF25" si="7">SUM(E11:E13,E18:E23)</f>
        <v>37413477.258421376</v>
      </c>
      <c r="F25" s="40">
        <f t="shared" si="7"/>
        <v>39311939.789883211</v>
      </c>
      <c r="G25" s="40">
        <f t="shared" si="7"/>
        <v>41293592.52264598</v>
      </c>
      <c r="H25" s="40">
        <f t="shared" si="7"/>
        <v>43361815.603960723</v>
      </c>
      <c r="I25" s="40">
        <f t="shared" si="7"/>
        <v>45520120.323736414</v>
      </c>
      <c r="J25" s="40">
        <f t="shared" si="7"/>
        <v>47772154.046399303</v>
      </c>
      <c r="K25" s="40">
        <f t="shared" si="7"/>
        <v>50121705.324101128</v>
      </c>
      <c r="L25" s="40">
        <f t="shared" si="7"/>
        <v>52572709.197832316</v>
      </c>
      <c r="M25" s="40">
        <f t="shared" si="7"/>
        <v>55129252.693230443</v>
      </c>
      <c r="N25" s="40">
        <f t="shared" si="7"/>
        <v>57795580.518115476</v>
      </c>
      <c r="O25" s="40">
        <f t="shared" si="7"/>
        <v>60576100.969035283</v>
      </c>
      <c r="P25" s="40">
        <f t="shared" si="7"/>
        <v>63475392.054363392</v>
      </c>
      <c r="Q25" s="40">
        <f t="shared" si="7"/>
        <v>66498207.841760196</v>
      </c>
      <c r="R25" s="40">
        <f t="shared" si="7"/>
        <v>69649485.038086772</v>
      </c>
      <c r="S25" s="40">
        <f t="shared" si="7"/>
        <v>72934349.810148269</v>
      </c>
      <c r="T25" s="40">
        <f t="shared" si="7"/>
        <v>76358124.854942679</v>
      </c>
      <c r="U25" s="40">
        <f t="shared" si="7"/>
        <v>79926336.728398338</v>
      </c>
      <c r="V25" s="40">
        <f t="shared" si="7"/>
        <v>83644723.44190374</v>
      </c>
      <c r="W25" s="40">
        <f t="shared" si="7"/>
        <v>87519242.336263582</v>
      </c>
      <c r="X25" s="40">
        <f t="shared" si="7"/>
        <v>91556078.243057922</v>
      </c>
      <c r="Y25" s="40">
        <f t="shared" si="7"/>
        <v>95761651.94373478</v>
      </c>
      <c r="Z25" s="40">
        <f t="shared" si="7"/>
        <v>100142628.93713409</v>
      </c>
      <c r="AA25" s="40">
        <f t="shared" si="7"/>
        <v>104705928.52652058</v>
      </c>
      <c r="AB25" s="40">
        <f t="shared" si="7"/>
        <v>109458733.23759612</v>
      </c>
      <c r="AC25" s="40">
        <f t="shared" si="7"/>
        <v>114408498.57936938</v>
      </c>
      <c r="AD25" s="40">
        <f t="shared" si="7"/>
        <v>119562963.16018084</v>
      </c>
      <c r="AE25" s="40">
        <f t="shared" si="7"/>
        <v>124930159.17161894</v>
      </c>
      <c r="AF25" s="40">
        <f t="shared" si="7"/>
        <v>130518423.25351304</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22814408.414177664</v>
      </c>
      <c r="D5" s="59">
        <f>C5*('Price and Financial ratios'!F4+1)*(1+Assumptions!$C$13)</f>
        <v>30545612.164841585</v>
      </c>
      <c r="E5" s="59">
        <f>D5*('Price and Financial ratios'!G4+1)*(1+Assumptions!$C$13)</f>
        <v>37750816.424147859</v>
      </c>
      <c r="F5" s="59">
        <f>E5*('Price and Financial ratios'!H4+1)*(1+Assumptions!$C$13)</f>
        <v>44711625.381434113</v>
      </c>
      <c r="G5" s="59">
        <f>F5*('Price and Financial ratios'!I4+1)*(1+Assumptions!$C$13)</f>
        <v>50193008.20341222</v>
      </c>
      <c r="H5" s="59">
        <f>G5*('Price and Financial ratios'!J4+1)*(1+Assumptions!$C$13)</f>
        <v>54795558.685903989</v>
      </c>
      <c r="I5" s="59">
        <f>H5*('Price and Financial ratios'!K4+1)*(1+Assumptions!$C$13)</f>
        <v>59820149.442571737</v>
      </c>
      <c r="J5" s="59">
        <f>I5*('Price and Financial ratios'!L4+1)*(1+Assumptions!$C$13)</f>
        <v>64689390.882041022</v>
      </c>
      <c r="K5" s="59">
        <f>J5*('Price and Financial ratios'!M4+1)*(1+Assumptions!$C$13)</f>
        <v>68622503.121915966</v>
      </c>
      <c r="L5" s="59">
        <f>K5*('Price and Financial ratios'!N4+1)*(1+Assumptions!$C$13)</f>
        <v>72794748.420249626</v>
      </c>
      <c r="M5" s="59">
        <f>L5*('Price and Financial ratios'!O4+1)*(1+Assumptions!$C$13)</f>
        <v>77220666.056920186</v>
      </c>
      <c r="N5" s="59">
        <f>M5*('Price and Financial ratios'!P4+1)*(1+Assumptions!$C$13)</f>
        <v>81915679.299409777</v>
      </c>
      <c r="O5" s="59">
        <f>N5*('Price and Financial ratios'!Q4+1)*(1+Assumptions!$C$13)</f>
        <v>86896149.149213582</v>
      </c>
      <c r="P5" s="59">
        <f>O5*('Price and Financial ratios'!R4+1)*(1+Assumptions!$C$13)</f>
        <v>92179431.356028318</v>
      </c>
      <c r="Q5" s="59">
        <f>P5*('Price and Financial ratios'!S4+1)*(1+Assumptions!$C$13)</f>
        <v>97024450.00986965</v>
      </c>
      <c r="R5" s="59">
        <f>Q5*('Price and Financial ratios'!T4+1)*(1+Assumptions!$C$13)</f>
        <v>102124126.40471402</v>
      </c>
      <c r="S5" s="59">
        <f>R5*('Price and Financial ratios'!U4+1)*(1+Assumptions!$C$13)</f>
        <v>107491845.53857404</v>
      </c>
      <c r="T5" s="59">
        <f>S5*('Price and Financial ratios'!V4+1)*(1+Assumptions!$C$13)</f>
        <v>113141695.93479438</v>
      </c>
      <c r="U5" s="59">
        <f>T5*('Price and Financial ratios'!W4+1)*(1+Assumptions!$C$13)</f>
        <v>119088506.61986023</v>
      </c>
      <c r="V5" s="59">
        <f>U5*('Price and Financial ratios'!X4+1)*(1+Assumptions!$C$13)</f>
        <v>125347886.04478654</v>
      </c>
      <c r="W5" s="59">
        <f>V5*('Price and Financial ratios'!Y4+1)*(1+Assumptions!$C$13)</f>
        <v>131936263.0522441</v>
      </c>
      <c r="X5" s="59">
        <f>W5*('Price and Financial ratios'!Z4+1)*(1+Assumptions!$C$13)</f>
        <v>138870929.99694785</v>
      </c>
      <c r="Y5" s="59">
        <f>X5*('Price and Financial ratios'!AA4+1)*(1+Assumptions!$C$13)</f>
        <v>146170088.13248461</v>
      </c>
      <c r="Z5" s="59">
        <f>Y5*('Price and Financial ratios'!AB4+1)*(1+Assumptions!$C$13)</f>
        <v>153852895.38370559</v>
      </c>
      <c r="AA5" s="59">
        <f>Z5*('Price and Financial ratios'!AC4+1)*(1+Assumptions!$C$13)</f>
        <v>161939516.63007113</v>
      </c>
      <c r="AB5" s="59">
        <f>AA5*('Price and Financial ratios'!AD4+1)*(1+Assumptions!$C$13)</f>
        <v>170451176.63192505</v>
      </c>
      <c r="AC5" s="59">
        <f>AB5*('Price and Financial ratios'!AE4+1)*(1+Assumptions!$C$13)</f>
        <v>179410215.73861262</v>
      </c>
      <c r="AD5" s="59">
        <f>AC5*('Price and Financial ratios'!AF4+1)*(1+Assumptions!$C$13)</f>
        <v>188840148.52465847</v>
      </c>
      <c r="AE5" s="59">
        <f>AD5*('Price and Financial ratios'!AG4+1)*(1+Assumptions!$C$13)</f>
        <v>198765725.50790489</v>
      </c>
      <c r="AF5" s="59">
        <f>AE5*('Price and Financial ratios'!AH4+1)*(1+Assumptions!$C$13)</f>
        <v>209212998.11160085</v>
      </c>
    </row>
    <row r="6" spans="1:32" s="11" customFormat="1" x14ac:dyDescent="0.35">
      <c r="A6" s="11" t="s">
        <v>20</v>
      </c>
      <c r="C6" s="59">
        <f>C27</f>
        <v>9886004.8801703006</v>
      </c>
      <c r="D6" s="59">
        <f t="shared" ref="D6:AF6" si="1">D27</f>
        <v>11188634.516572306</v>
      </c>
      <c r="E6" s="59">
        <f>E27</f>
        <v>12552290.531974845</v>
      </c>
      <c r="F6" s="59">
        <f t="shared" si="1"/>
        <v>13979474.14410471</v>
      </c>
      <c r="G6" s="59">
        <f t="shared" si="1"/>
        <v>15472790.557435401</v>
      </c>
      <c r="H6" s="59">
        <f t="shared" si="1"/>
        <v>17034953.561611589</v>
      </c>
      <c r="I6" s="59">
        <f t="shared" si="1"/>
        <v>18668790.346713431</v>
      </c>
      <c r="J6" s="59">
        <f t="shared" si="1"/>
        <v>20377246.546084031</v>
      </c>
      <c r="K6" s="59">
        <f t="shared" si="1"/>
        <v>22163391.517989352</v>
      </c>
      <c r="L6" s="59">
        <f t="shared" si="1"/>
        <v>24030423.877954051</v>
      </c>
      <c r="M6" s="59">
        <f t="shared" si="1"/>
        <v>25981677.294220868</v>
      </c>
      <c r="N6" s="59">
        <f t="shared" si="1"/>
        <v>28020626.559416175</v>
      </c>
      <c r="O6" s="59">
        <f t="shared" si="1"/>
        <v>30150893.952172697</v>
      </c>
      <c r="P6" s="59">
        <f t="shared" si="1"/>
        <v>32376255.903163061</v>
      </c>
      <c r="Q6" s="59">
        <f t="shared" si="1"/>
        <v>34700649.980736993</v>
      </c>
      <c r="R6" s="59">
        <f t="shared" si="1"/>
        <v>37128182.212132618</v>
      </c>
      <c r="S6" s="59">
        <f t="shared" si="1"/>
        <v>39663134.757050209</v>
      </c>
      <c r="T6" s="59">
        <f t="shared" si="1"/>
        <v>42309973.951236717</v>
      </c>
      <c r="U6" s="59">
        <f t="shared" si="1"/>
        <v>45073358.738635086</v>
      </c>
      <c r="V6" s="59">
        <f t="shared" si="1"/>
        <v>47958149.511603281</v>
      </c>
      <c r="W6" s="59">
        <f t="shared" si="1"/>
        <v>50969417.379710518</v>
      </c>
      <c r="X6" s="59">
        <f t="shared" si="1"/>
        <v>54112453.888670564</v>
      </c>
      <c r="Y6" s="59">
        <f t="shared" si="1"/>
        <v>57392781.212080978</v>
      </c>
      <c r="Z6" s="59">
        <f t="shared" si="1"/>
        <v>60816162.839802384</v>
      </c>
      <c r="AA6" s="59">
        <f t="shared" si="1"/>
        <v>64388614.788038626</v>
      </c>
      <c r="AB6" s="59">
        <f t="shared" si="1"/>
        <v>68116417.357468829</v>
      </c>
      <c r="AC6" s="59">
        <f t="shared" si="1"/>
        <v>72006127.467139333</v>
      </c>
      <c r="AD6" s="59">
        <f t="shared" si="1"/>
        <v>76064591.593252525</v>
      </c>
      <c r="AE6" s="59">
        <f t="shared" si="1"/>
        <v>80298959.343490124</v>
      </c>
      <c r="AF6" s="59">
        <f t="shared" si="1"/>
        <v>84716697.699091166</v>
      </c>
    </row>
    <row r="7" spans="1:32" x14ac:dyDescent="0.35">
      <c r="A7" t="s">
        <v>21</v>
      </c>
      <c r="C7" s="4">
        <f>Depreciation!C8+Depreciation!C9</f>
        <v>7269804.5827161884</v>
      </c>
      <c r="D7" s="4">
        <f>Depreciation!D8+Depreciation!D9</f>
        <v>8160856.5989911612</v>
      </c>
      <c r="E7" s="4">
        <f>Depreciation!E8+Depreciation!E9</f>
        <v>9101491.6644150298</v>
      </c>
      <c r="F7" s="4">
        <f>Depreciation!F8+Depreciation!F9</f>
        <v>10093970.656868661</v>
      </c>
      <c r="G7" s="4">
        <f>Depreciation!G8+Depreciation!G9</f>
        <v>11140648.377374962</v>
      </c>
      <c r="H7" s="4">
        <f>Depreciation!H8+Depreciation!H9</f>
        <v>12243977.246041033</v>
      </c>
      <c r="I7" s="4">
        <f>Depreciation!I8+Depreciation!I9</f>
        <v>13406511.138363298</v>
      </c>
      <c r="J7" s="4">
        <f>Depreciation!J8+Depreciation!J9</f>
        <v>14630909.367094247</v>
      </c>
      <c r="K7" s="4">
        <f>Depreciation!K8+Depreciation!K9</f>
        <v>15919940.815058293</v>
      </c>
      <c r="L7" s="4">
        <f>Depreciation!L8+Depreciation!L9</f>
        <v>17276488.224500127</v>
      </c>
      <c r="M7" s="4">
        <f>Depreciation!M8+Depreciation!M9</f>
        <v>18703552.648751624</v>
      </c>
      <c r="N7" s="4">
        <f>Depreciation!N8+Depreciation!N9</f>
        <v>20204258.072213329</v>
      </c>
      <c r="O7" s="4">
        <f>Depreciation!O8+Depreciation!O9</f>
        <v>21781856.204864264</v>
      </c>
      <c r="P7" s="4">
        <f>Depreciation!P8+Depreciation!P9</f>
        <v>23439731.457738906</v>
      </c>
      <c r="Q7" s="4">
        <f>Depreciation!Q8+Depreciation!Q9</f>
        <v>25181406.106043741</v>
      </c>
      <c r="R7" s="4">
        <f>Depreciation!R8+Depreciation!R9</f>
        <v>27010545.64682737</v>
      </c>
      <c r="S7" s="4">
        <f>Depreciation!S8+Depreciation!S9</f>
        <v>28930964.358368561</v>
      </c>
      <c r="T7" s="4">
        <f>Depreciation!T8+Depreciation!T9</f>
        <v>30946631.068706032</v>
      </c>
      <c r="U7" s="4">
        <f>Depreciation!U8+Depreciation!U9</f>
        <v>33061675.141002133</v>
      </c>
      <c r="V7" s="4">
        <f>Depreciation!V8+Depreciation!V9</f>
        <v>35280392.683710843</v>
      </c>
      <c r="W7" s="4">
        <f>Depreciation!W8+Depreciation!W9</f>
        <v>37607252.993808508</v>
      </c>
      <c r="X7" s="4">
        <f>Depreciation!X8+Depreciation!X9</f>
        <v>40046905.241644301</v>
      </c>
      <c r="Y7" s="4">
        <f>Depreciation!Y8+Depreciation!Y9</f>
        <v>42604185.406275928</v>
      </c>
      <c r="Z7" s="4">
        <f>Depreciation!Z8+Depreciation!Z9</f>
        <v>45284123.470476545</v>
      </c>
      <c r="AA7" s="4">
        <f>Depreciation!AA8+Depreciation!AA9</f>
        <v>48091950.88492997</v>
      </c>
      <c r="AB7" s="4">
        <f>Depreciation!AB8+Depreciation!AB9</f>
        <v>51033108.311474651</v>
      </c>
      <c r="AC7" s="4">
        <f>Depreciation!AC8+Depreciation!AC9</f>
        <v>54113253.655612007</v>
      </c>
      <c r="AD7" s="4">
        <f>Depreciation!AD8+Depreciation!AD9</f>
        <v>57338270.398863226</v>
      </c>
      <c r="AE7" s="4">
        <f>Depreciation!AE8+Depreciation!AE9</f>
        <v>60714276.241939165</v>
      </c>
      <c r="AF7" s="4">
        <f>Depreciation!AF8+Depreciation!AF9</f>
        <v>64247632.070083514</v>
      </c>
    </row>
    <row r="8" spans="1:32" x14ac:dyDescent="0.35">
      <c r="A8" t="s">
        <v>6</v>
      </c>
      <c r="C8" s="4">
        <f ca="1">'Debt worksheet'!C8</f>
        <v>2599423.7415688732</v>
      </c>
      <c r="D8" s="4">
        <f ca="1">'Debt worksheet'!D8</f>
        <v>3282645.4038532493</v>
      </c>
      <c r="E8" s="4">
        <f ca="1">'Debt worksheet'!E8</f>
        <v>3844734.40587766</v>
      </c>
      <c r="F8" s="4">
        <f ca="1">'Debt worksheet'!F8</f>
        <v>4295364.7722456409</v>
      </c>
      <c r="G8" s="4">
        <f ca="1">'Debt worksheet'!G8</f>
        <v>4689567.7646933282</v>
      </c>
      <c r="H8" s="4">
        <f ca="1">'Debt worksheet'!H8</f>
        <v>5062808.4264059262</v>
      </c>
      <c r="I8" s="4">
        <f ca="1">'Debt worksheet'!I8</f>
        <v>5404886.0822607884</v>
      </c>
      <c r="J8" s="4">
        <f ca="1">'Debt worksheet'!J8</f>
        <v>5726410.8001308488</v>
      </c>
      <c r="K8" s="4">
        <f ca="1">'Debt worksheet'!K8</f>
        <v>6066944.6428362243</v>
      </c>
      <c r="L8" s="4">
        <f ca="1">'Debt worksheet'!L8</f>
        <v>6425117.2080621859</v>
      </c>
      <c r="M8" s="4">
        <f ca="1">'Debt worksheet'!M8</f>
        <v>6799250.2027261928</v>
      </c>
      <c r="N8" s="4">
        <f ca="1">'Debt worksheet'!N8</f>
        <v>7187325.0517724957</v>
      </c>
      <c r="O8" s="4">
        <f ca="1">'Debt worksheet'!O8</f>
        <v>7586947.8277640408</v>
      </c>
      <c r="P8" s="4">
        <f ca="1">'Debt worksheet'!P8</f>
        <v>7995311.3044730322</v>
      </c>
      <c r="Q8" s="4">
        <f ca="1">'Debt worksheet'!Q8</f>
        <v>8436700.0807409286</v>
      </c>
      <c r="R8" s="4">
        <f ca="1">'Debt worksheet'!R8</f>
        <v>8911475.6583768055</v>
      </c>
      <c r="S8" s="4">
        <f ca="1">'Debt worksheet'!S8</f>
        <v>9419868.4190452434</v>
      </c>
      <c r="T8" s="4">
        <f ca="1">'Debt worksheet'!T8</f>
        <v>9961961.1601489335</v>
      </c>
      <c r="U8" s="4">
        <f ca="1">'Debt worksheet'!U8</f>
        <v>10537671.264041444</v>
      </c>
      <c r="V8" s="4">
        <f ca="1">'Debt worksheet'!V8</f>
        <v>11146731.405022448</v>
      </c>
      <c r="W8" s="4">
        <f ca="1">'Debt worksheet'!W8</f>
        <v>11788668.692490155</v>
      </c>
      <c r="X8" s="4">
        <f ca="1">'Debt worksheet'!X8</f>
        <v>12462782.142183913</v>
      </c>
      <c r="Y8" s="4">
        <f ca="1">'Debt worksheet'!Y8</f>
        <v>13168118.360622285</v>
      </c>
      <c r="Z8" s="4">
        <f ca="1">'Debt worksheet'!Z8</f>
        <v>13903445.320606597</v>
      </c>
      <c r="AA8" s="4">
        <f ca="1">'Debt worksheet'!AA8</f>
        <v>14667224.097993452</v>
      </c>
      <c r="AB8" s="4">
        <f ca="1">'Debt worksheet'!AB8</f>
        <v>15457578.431816941</v>
      </c>
      <c r="AC8" s="4">
        <f ca="1">'Debt worksheet'!AC8</f>
        <v>16272261.961236585</v>
      </c>
      <c r="AD8" s="4">
        <f ca="1">'Debt worksheet'!AD8</f>
        <v>17108622.983672231</v>
      </c>
      <c r="AE8" s="4">
        <f ca="1">'Debt worksheet'!AE8</f>
        <v>17963566.568833556</v>
      </c>
      <c r="AF8" s="4">
        <f ca="1">'Debt worksheet'!AF8</f>
        <v>18833513.853128158</v>
      </c>
    </row>
    <row r="9" spans="1:32" x14ac:dyDescent="0.35">
      <c r="A9" t="s">
        <v>22</v>
      </c>
      <c r="C9" s="4">
        <f ca="1">C5-C6-C7-C8</f>
        <v>3059175.2097223015</v>
      </c>
      <c r="D9" s="4">
        <f t="shared" ref="D9:AF9" ca="1" si="2">D5-D6-D7-D8</f>
        <v>7913475.6454248708</v>
      </c>
      <c r="E9" s="4">
        <f t="shared" ca="1" si="2"/>
        <v>12252299.821880326</v>
      </c>
      <c r="F9" s="4">
        <f t="shared" ca="1" si="2"/>
        <v>16342815.8082151</v>
      </c>
      <c r="G9" s="4">
        <f t="shared" ca="1" si="2"/>
        <v>18890001.50390853</v>
      </c>
      <c r="H9" s="4">
        <f t="shared" ca="1" si="2"/>
        <v>20453819.451845445</v>
      </c>
      <c r="I9" s="4">
        <f t="shared" ca="1" si="2"/>
        <v>22339961.87523422</v>
      </c>
      <c r="J9" s="4">
        <f t="shared" ca="1" si="2"/>
        <v>23954824.168731894</v>
      </c>
      <c r="K9" s="4">
        <f t="shared" ca="1" si="2"/>
        <v>24472226.146032099</v>
      </c>
      <c r="L9" s="4">
        <f t="shared" ca="1" si="2"/>
        <v>25062719.109733261</v>
      </c>
      <c r="M9" s="4">
        <f t="shared" ca="1" si="2"/>
        <v>25736185.911221504</v>
      </c>
      <c r="N9" s="4">
        <f t="shared" ca="1" si="2"/>
        <v>26503469.616007775</v>
      </c>
      <c r="O9" s="4">
        <f t="shared" ca="1" si="2"/>
        <v>27376451.16441258</v>
      </c>
      <c r="P9" s="4">
        <f t="shared" ca="1" si="2"/>
        <v>28368132.69065332</v>
      </c>
      <c r="Q9" s="4">
        <f t="shared" ca="1" si="2"/>
        <v>28705693.842347987</v>
      </c>
      <c r="R9" s="4">
        <f t="shared" ca="1" si="2"/>
        <v>29073922.887377225</v>
      </c>
      <c r="S9" s="4">
        <f t="shared" ca="1" si="2"/>
        <v>29477878.00411002</v>
      </c>
      <c r="T9" s="4">
        <f t="shared" ca="1" si="2"/>
        <v>29923129.754702702</v>
      </c>
      <c r="U9" s="4">
        <f t="shared" ca="1" si="2"/>
        <v>30415801.476181559</v>
      </c>
      <c r="V9" s="4">
        <f t="shared" ca="1" si="2"/>
        <v>30962612.444449969</v>
      </c>
      <c r="W9" s="4">
        <f t="shared" ca="1" si="2"/>
        <v>31570923.986234911</v>
      </c>
      <c r="X9" s="4">
        <f t="shared" ca="1" si="2"/>
        <v>32248788.724449076</v>
      </c>
      <c r="Y9" s="4">
        <f t="shared" ca="1" si="2"/>
        <v>33005003.153505415</v>
      </c>
      <c r="Z9" s="4">
        <f t="shared" ca="1" si="2"/>
        <v>33849163.75282006</v>
      </c>
      <c r="AA9" s="4">
        <f t="shared" ca="1" si="2"/>
        <v>34791726.859109089</v>
      </c>
      <c r="AB9" s="4">
        <f t="shared" ca="1" si="2"/>
        <v>35844072.531164624</v>
      </c>
      <c r="AC9" s="4">
        <f t="shared" ca="1" si="2"/>
        <v>37018572.654624701</v>
      </c>
      <c r="AD9" s="4">
        <f t="shared" ca="1" si="2"/>
        <v>38328663.548870489</v>
      </c>
      <c r="AE9" s="4">
        <f t="shared" ca="1" si="2"/>
        <v>39788923.353642046</v>
      </c>
      <c r="AF9" s="4">
        <f t="shared" ca="1" si="2"/>
        <v>41415154.489298008</v>
      </c>
    </row>
    <row r="12" spans="1:32" x14ac:dyDescent="0.35">
      <c r="A12" t="s">
        <v>79</v>
      </c>
      <c r="C12" s="2">
        <f>Assumptions!$C$25*Assumptions!D9*Assumptions!D13</f>
        <v>9096229.8709218334</v>
      </c>
      <c r="D12" s="2">
        <f>Assumptions!$C$25*Assumptions!E9*Assumptions!E13</f>
        <v>9574334.397668438</v>
      </c>
      <c r="E12" s="2">
        <f>Assumptions!$C$25*Assumptions!F9*Assumptions!F13</f>
        <v>10077568.449695215</v>
      </c>
      <c r="F12" s="2">
        <f>Assumptions!$C$25*Assumptions!G9*Assumptions!G13</f>
        <v>10607252.853318335</v>
      </c>
      <c r="G12" s="2">
        <f>Assumptions!$C$25*Assumptions!H9*Assumptions!H13</f>
        <v>11164777.858455809</v>
      </c>
      <c r="H12" s="2">
        <f>Assumptions!$C$25*Assumptions!I9*Assumptions!I13</f>
        <v>11751606.787583016</v>
      </c>
      <c r="I12" s="2">
        <f>Assumptions!$C$25*Assumptions!J9*Assumptions!J13</f>
        <v>12369279.876480028</v>
      </c>
      <c r="J12" s="2">
        <f>Assumptions!$C$25*Assumptions!K9*Assumptions!K13</f>
        <v>13019418.31685142</v>
      </c>
      <c r="K12" s="2">
        <f>Assumptions!$C$25*Assumptions!L9*Assumptions!L13</f>
        <v>13703728.511429153</v>
      </c>
      <c r="L12" s="2">
        <f>Assumptions!$C$25*Assumptions!M9*Assumptions!M13</f>
        <v>14424006.552726807</v>
      </c>
      <c r="M12" s="2">
        <f>Assumptions!$C$25*Assumptions!N9*Assumptions!N13</f>
        <v>15182142.937200399</v>
      </c>
      <c r="N12" s="2">
        <f>Assumptions!$C$25*Assumptions!O9*Assumptions!O13</f>
        <v>15980127.527188987</v>
      </c>
      <c r="O12" s="2">
        <f>Assumptions!$C$25*Assumptions!P9*Assumptions!P13</f>
        <v>16820054.773658495</v>
      </c>
      <c r="P12" s="2">
        <f>Assumptions!$C$25*Assumptions!Q9*Assumptions!Q13</f>
        <v>17704129.213456813</v>
      </c>
      <c r="Q12" s="2">
        <f>Assumptions!$C$25*Assumptions!R9*Assumptions!R13</f>
        <v>18634671.25550865</v>
      </c>
      <c r="R12" s="2">
        <f>Assumptions!$C$25*Assumptions!S9*Assumptions!S13</f>
        <v>19614123.271137033</v>
      </c>
      <c r="S12" s="2">
        <f>Assumptions!$C$25*Assumptions!T9*Assumptions!T13</f>
        <v>20645056.004496619</v>
      </c>
      <c r="T12" s="2">
        <f>Assumptions!$C$25*Assumptions!U9*Assumptions!U13</f>
        <v>21730175.319944024</v>
      </c>
      <c r="U12" s="2">
        <f>Assumptions!$C$25*Assumptions!V9*Assumptions!V13</f>
        <v>22872329.304054998</v>
      </c>
      <c r="V12" s="2">
        <f>Assumptions!$C$25*Assumptions!W9*Assumptions!W13</f>
        <v>24074515.740928706</v>
      </c>
      <c r="W12" s="2">
        <f>Assumptions!$C$25*Assumptions!X9*Assumptions!X13</f>
        <v>25339889.980399627</v>
      </c>
      <c r="X12" s="2">
        <f>Assumptions!$C$25*Assumptions!Y9*Assumptions!Y13</f>
        <v>26671773.21980837</v>
      </c>
      <c r="Y12" s="2">
        <f>Assumptions!$C$25*Assumptions!Z9*Assumptions!Z13</f>
        <v>28073661.221068494</v>
      </c>
      <c r="Z12" s="2">
        <f>Assumptions!$C$25*Assumptions!AA9*Assumptions!AA13</f>
        <v>29549233.485908721</v>
      </c>
      <c r="AA12" s="2">
        <f>Assumptions!$C$25*Assumptions!AB9*Assumptions!AB13</f>
        <v>31102362.913372666</v>
      </c>
      <c r="AB12" s="2">
        <f>Assumptions!$C$25*Assumptions!AC9*Assumptions!AC13</f>
        <v>32737125.964923855</v>
      </c>
      <c r="AC12" s="2">
        <f>Assumptions!$C$25*Assumptions!AD9*Assumptions!AD13</f>
        <v>34457813.363836043</v>
      </c>
      <c r="AD12" s="2">
        <f>Assumptions!$C$25*Assumptions!AE9*Assumptions!AE13</f>
        <v>36268941.356951512</v>
      </c>
      <c r="AE12" s="2">
        <f>Assumptions!$C$25*Assumptions!AF9*Assumptions!AF13</f>
        <v>38175263.568365499</v>
      </c>
      <c r="AF12" s="2">
        <f>Assumptions!$C$25*Assumptions!AG9*Assumptions!AG13</f>
        <v>40181783.476149075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789775.00924846751</v>
      </c>
      <c r="D14" s="5">
        <f>Assumptions!E122*Assumptions!E9</f>
        <v>1614300.1189038674</v>
      </c>
      <c r="E14" s="5">
        <f>Assumptions!F122*Assumptions!F9</f>
        <v>2474722.0822796291</v>
      </c>
      <c r="F14" s="5">
        <f>Assumptions!G122*Assumptions!G9</f>
        <v>3372221.2907863744</v>
      </c>
      <c r="G14" s="5">
        <f>Assumptions!H122*Assumptions!H9</f>
        <v>4308012.6989795929</v>
      </c>
      <c r="H14" s="5">
        <f>Assumptions!I122*Assumptions!I9</f>
        <v>5283346.7740285723</v>
      </c>
      <c r="I14" s="5">
        <f>Assumptions!J122*Assumptions!J9</f>
        <v>6299510.4702334013</v>
      </c>
      <c r="J14" s="5">
        <f>Assumptions!K122*Assumptions!K9</f>
        <v>7357828.229232613</v>
      </c>
      <c r="K14" s="5">
        <f>Assumptions!L122*Assumptions!L9</f>
        <v>8459663.0065601971</v>
      </c>
      <c r="L14" s="5">
        <f>Assumptions!M122*Assumptions!M9</f>
        <v>9606417.3252272457</v>
      </c>
      <c r="M14" s="5">
        <f>Assumptions!N122*Assumptions!N9</f>
        <v>10799534.357020469</v>
      </c>
      <c r="N14" s="5">
        <f>Assumptions!O122*Assumptions!O9</f>
        <v>12040499.032227186</v>
      </c>
      <c r="O14" s="5">
        <f>Assumptions!P122*Assumptions!P9</f>
        <v>13330839.178514203</v>
      </c>
      <c r="P14" s="5">
        <f>Assumptions!Q122*Assumptions!Q9</f>
        <v>14672126.689706247</v>
      </c>
      <c r="Q14" s="5">
        <f>Assumptions!R122*Assumptions!R9</f>
        <v>16065978.725228341</v>
      </c>
      <c r="R14" s="5">
        <f>Assumptions!S122*Assumptions!S9</f>
        <v>17514058.940995589</v>
      </c>
      <c r="S14" s="5">
        <f>Assumptions!T122*Assumptions!T9</f>
        <v>19018078.75255359</v>
      </c>
      <c r="T14" s="5">
        <f>Assumptions!U122*Assumptions!U9</f>
        <v>20579798.631292693</v>
      </c>
      <c r="U14" s="5">
        <f>Assumptions!V122*Assumptions!V9</f>
        <v>22201029.434580088</v>
      </c>
      <c r="V14" s="5">
        <f>Assumptions!W122*Assumptions!W9</f>
        <v>23883633.770674579</v>
      </c>
      <c r="W14" s="5">
        <f>Assumptions!X122*Assumptions!X9</f>
        <v>25629527.399310891</v>
      </c>
      <c r="X14" s="5">
        <f>Assumptions!Y122*Assumptions!Y9</f>
        <v>27440680.66886219</v>
      </c>
      <c r="Y14" s="5">
        <f>Assumptions!Z122*Assumptions!Z9</f>
        <v>29319119.991012484</v>
      </c>
      <c r="Z14" s="5">
        <f>Assumptions!AA122*Assumptions!AA9</f>
        <v>31266929.353893667</v>
      </c>
      <c r="AA14" s="5">
        <f>Assumptions!AB122*Assumptions!AB9</f>
        <v>33286251.874665964</v>
      </c>
      <c r="AB14" s="5">
        <f>Assumptions!AC122*Assumptions!AC9</f>
        <v>35379291.39254497</v>
      </c>
      <c r="AC14" s="5">
        <f>Assumptions!AD122*Assumptions!AD9</f>
        <v>37548314.103303298</v>
      </c>
      <c r="AD14" s="5">
        <f>Assumptions!AE122*Assumptions!AE9</f>
        <v>39795650.236301012</v>
      </c>
      <c r="AE14" s="5">
        <f>Assumptions!AF122*Assumptions!AF9</f>
        <v>42123695.775124617</v>
      </c>
      <c r="AF14" s="5">
        <f>Assumptions!AG122*Assumptions!AG9</f>
        <v>44534914.222942092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9886004.8801703006</v>
      </c>
      <c r="D27" s="2">
        <f t="shared" ref="D27:AF27" si="8">D12+D13+D14+D19+D20+D22+D24+D25</f>
        <v>11188634.516572306</v>
      </c>
      <c r="E27" s="2">
        <f t="shared" si="8"/>
        <v>12552290.531974845</v>
      </c>
      <c r="F27" s="2">
        <f t="shared" si="8"/>
        <v>13979474.14410471</v>
      </c>
      <c r="G27" s="2">
        <f t="shared" si="8"/>
        <v>15472790.557435401</v>
      </c>
      <c r="H27" s="2">
        <f t="shared" si="8"/>
        <v>17034953.561611589</v>
      </c>
      <c r="I27" s="2">
        <f t="shared" si="8"/>
        <v>18668790.346713431</v>
      </c>
      <c r="J27" s="2">
        <f t="shared" si="8"/>
        <v>20377246.546084031</v>
      </c>
      <c r="K27" s="2">
        <f t="shared" si="8"/>
        <v>22163391.517989352</v>
      </c>
      <c r="L27" s="2">
        <f t="shared" si="8"/>
        <v>24030423.877954051</v>
      </c>
      <c r="M27" s="2">
        <f t="shared" si="8"/>
        <v>25981677.294220868</v>
      </c>
      <c r="N27" s="2">
        <f t="shared" si="8"/>
        <v>28020626.559416175</v>
      </c>
      <c r="O27" s="2">
        <f t="shared" si="8"/>
        <v>30150893.952172697</v>
      </c>
      <c r="P27" s="2">
        <f t="shared" si="8"/>
        <v>32376255.903163061</v>
      </c>
      <c r="Q27" s="2">
        <f t="shared" si="8"/>
        <v>34700649.980736993</v>
      </c>
      <c r="R27" s="2">
        <f t="shared" si="8"/>
        <v>37128182.212132618</v>
      </c>
      <c r="S27" s="2">
        <f t="shared" si="8"/>
        <v>39663134.757050209</v>
      </c>
      <c r="T27" s="2">
        <f t="shared" si="8"/>
        <v>42309973.951236717</v>
      </c>
      <c r="U27" s="2">
        <f t="shared" si="8"/>
        <v>45073358.738635086</v>
      </c>
      <c r="V27" s="2">
        <f t="shared" si="8"/>
        <v>47958149.511603281</v>
      </c>
      <c r="W27" s="2">
        <f t="shared" si="8"/>
        <v>50969417.379710518</v>
      </c>
      <c r="X27" s="2">
        <f t="shared" si="8"/>
        <v>54112453.888670564</v>
      </c>
      <c r="Y27" s="2">
        <f t="shared" si="8"/>
        <v>57392781.212080978</v>
      </c>
      <c r="Z27" s="2">
        <f t="shared" si="8"/>
        <v>60816162.839802384</v>
      </c>
      <c r="AA27" s="2">
        <f t="shared" si="8"/>
        <v>64388614.788038626</v>
      </c>
      <c r="AB27" s="2">
        <f t="shared" si="8"/>
        <v>68116417.357468829</v>
      </c>
      <c r="AC27" s="2">
        <f t="shared" si="8"/>
        <v>72006127.467139333</v>
      </c>
      <c r="AD27" s="2">
        <f t="shared" si="8"/>
        <v>76064591.593252525</v>
      </c>
      <c r="AE27" s="2">
        <f t="shared" si="8"/>
        <v>80298959.343490124</v>
      </c>
      <c r="AF27" s="2">
        <f t="shared" si="8"/>
        <v>84716697.699091166</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3W2DU3RAJ5R2-1900874439-788</_dlc_DocId>
    <_dlc_DocIdUrl xmlns="f54e2983-00ce-40fc-8108-18f351fc47bf">
      <Url>https://dia.cohesion.net.nz/Sites/LGV/TWRP/CAE/_layouts/15/DocIdRedir.aspx?ID=3W2DU3RAJ5R2-1900874439-788</Url>
      <Description>3W2DU3RAJ5R2-1900874439-788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0D5852B-D7A7-4297-8782-C3BF3308D0DB}"/>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schemas.microsoft.com/office/2006/metadata/properties"/>
    <ds:schemaRef ds:uri="http://purl.org/dc/dcmitype/"/>
    <ds:schemaRef ds:uri="65b6d800-2dda-48d6-88d8-9e2b35e6f7ea"/>
    <ds:schemaRef ds:uri="http://schemas.microsoft.com/office/2006/documentManagement/types"/>
    <ds:schemaRef ds:uri="http://schemas.microsoft.com/sharepoint/v3"/>
    <ds:schemaRef ds:uri="08a23fc5-e034-477c-ac83-93bc1440f322"/>
    <ds:schemaRef ds:uri="http://www.w3.org/XML/1998/namespace"/>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4.xml><?xml version="1.0" encoding="utf-8"?>
<ds:datastoreItem xmlns:ds="http://schemas.openxmlformats.org/officeDocument/2006/customXml" ds:itemID="{6E0A8820-AD4E-4DBE-A507-B3D5B1624A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2021-07-01T15:07:37Z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05af7b31-167d-42d5-9002-d04a207d0266</vt:lpwstr>
  </property>
</Properties>
</file>