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206" documentId="8_{CC460B3A-6E3D-41D7-ACD6-44ACD48331BC}" xr6:coauthVersionLast="47" xr6:coauthVersionMax="47" xr10:uidLastSave="{A4F0C6F1-D6A8-409E-A01D-7367C97936B3}"/>
  <bookViews>
    <workbookView xWindow="1290" yWindow="-110" windowWidth="37220" windowHeight="218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8</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2</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<sst xmlns="http://schemas.openxmlformats.org/spreadsheetml/2006/main" count="277" uniqueCount="204">
  <si>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</si>
  <si>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</si>
  <si>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</si>
  <si>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</si>
  <si>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</si>
  <si>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</si>
  <si>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</si>
  <si>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</si>
  <si>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</si>
  <si>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</si>
  <si>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</si>
  <si>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</si>
  <si>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</si>
  <si>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</si>
  <si>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</si>
  <si>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</si>
  <si>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</si>
  <si>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</si>
  <si>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</si>
  <si>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</si>
  <si>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</si>
  <si>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</si>
  <si>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</si>
  <si>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</si>
  <si>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</si>
  <si>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</si>
  <si>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</si>
  <si>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</si>
  <si>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</si>
  <si>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</si>
  <si>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</si>
  <si>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</si>
  <si>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</si>
  <si>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</si>
  <si>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</si>
  <si>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</si>
  <si>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</si>
  <si>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</si>
  <si>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</si>
  <si>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</si>
  <si>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</si>
  <si>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</si>
  <si>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</si>
  <si>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</si>
  <si>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</si>
  <si>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</si>
  <si>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</si>
  <si>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</si>
  <si>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</si>
  <si>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</si>
  <si>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</si>
  <si>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</si>
  <si>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</si>
  <si>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</si>
  <si>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</si>
  <si>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</si>
  <si>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</si>
  <si>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</si>
  <si>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</si>
  <si>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</si>
  <si>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</si>
  <si>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</si>
  <si>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</si>
  <si>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</si>
  <si>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</si>
  <si>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</si>
  <si>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</si>
  <si>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</si>
  <si>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</si>
  <si>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</si>
  <si>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</si>
  <si>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</si>
  <si>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</si>
  <si>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</si>
  <si>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</si>
  <si>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</si>
  <si>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</si>
  <si>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</si>
  <si>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</si>
  <si>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</si>
  <si>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</si>
  <si>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</si>
  <si>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</si>
  <si>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</si>
  <si>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</si>
  <si>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</si>
  <si>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</si>
  <si>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</si>
  <si>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</si>
  <si>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</si>
  <si>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</si>
  <si>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</si>
  <si>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</si>
  <si>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</si>
  <si>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</si>
  <si>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</si>
  <si>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</si>
  <si>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</si>
  <si>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</si>
  <si>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</si>
  <si>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</si>
  <si>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</si>
  <si>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</si>
  <si>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</si>
  <si>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</si>
  <si>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</si>
  <si>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</si>
  <si>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</si>
  <si>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</si>
  <si>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</si>
  <si>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</si>
  <si>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</si>
  <si>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</si>
  <si>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</si>
  <si>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</si>
  <si>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</si>
  <si>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</si>
  <si>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</si>
  <si>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</si>
  <si>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</si>
  <si>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</si>
  <si>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</si>
  <si>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</si>
  <si>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</si>
  <si>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</si>
  <si>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</si>
  <si>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</si>
  <si>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</si>
  <si>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</si>
  <si>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</si>
  <si>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</si>
  <si>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</si>
  <si>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</si>
  <si>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</si>
  <si>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</si>
  <si>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</si>
  <si>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</si>
  <si>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</si>
  <si>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</si>
  <si>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</si>
  <si>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</si>
  <si>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</si>
  <si>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</si>
  <si>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</si>
  <si>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</si>
  <si>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</si>
  <si>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</si>
  <si>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</si>
  <si>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</si>
  <si>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</si>
  <si>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</si>
  <si>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</si>
  <si>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</si>
  <si>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</si>
  <si>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</si>
  <si>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</si>
  <si>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</si>
  <si>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</si>
  <si>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</si>
  <si>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</si>
  <si>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</si>
  <si>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</si>
  <si>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</si>
  <si>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</si>
  <si>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</si>
  <si>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</si>
  <si>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</si>
  <si>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</si>
  <si>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</si>
  <si>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</si>
  <si>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</si>
  <si>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</si>
  <si>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</si>
  <si>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</si>
  <si>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</si>
  <si>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</si>
  <si>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</si>
  <si>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</si>
  <si>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</si>
  <si>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</si>
  <si>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</si>
  <si>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</si>
  <si>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</si>
  <si>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</si>
  <si>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</si>
  <si>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</si>
  <si>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</si>
  <si>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</si>
  <si>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</si>
  <si>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</si>
  <si>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</si>
  <si>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</si>
  <si>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</si>
  <si>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</si>
  <si>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</si>
  <si>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</si>
  <si>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</si>
  <si>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</si>
  <si>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</si>
  <si>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</si>
  <si>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</si>
  <si>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</si>
  <si>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</si>
  <si>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Mackenzie Stand-alone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</si>
</sst>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0" fillId="0" borderId="0" xfId="0" applyAlignment="1">
      <alignment wrapText="1"/>
    </xf>
    <xf numFmtId="0" fontId="0" fillId="0" borderId="0" xfId="0" applyAlignment="1">
      <alignment horizontal="right"/>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203</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150" zoomScaleNormal="15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110200000</v>
      </c>
      <c r="C6" s="12">
        <f ca="1">B6+Depreciation!C18+'Cash Flow'!C13</f>
        <v>114294106.16464394</v>
      </c>
      <c r="D6" s="1">
        <f ca="1">C6+Depreciation!D18</f>
        <v>125197335.48908333</v>
      </c>
      <c r="E6" s="1">
        <f ca="1">D6+Depreciation!E18</f>
        <v>136667847.08004916</v>
      </c>
      <c r="F6" s="1">
        <f ca="1">E6+Depreciation!F18</f>
        <v>148730782.0957709</v>
      </c>
      <c r="G6" s="1">
        <f ca="1">F6+Depreciation!G18</f>
        <v>161412309.83156377</v>
      </c>
      <c r="H6" s="1">
        <f ca="1">G6+Depreciation!H18</f>
        <v>174739667.77605623</v>
      </c>
      <c r="I6" s="1">
        <f ca="1">H6+Depreciation!I18</f>
        <v>188741203.17820361</v>
      </c>
      <c r="J6" s="1">
        <f ca="1">I6+Depreciation!J18</f>
        <v>203446416.18076068</v>
      </c>
      <c r="K6" s="1">
        <f ca="1">J6+Depreciation!K18</f>
        <v>218886004.57790184</v>
      </c>
      <c r="L6" s="1">
        <f ca="1">K6+Depreciation!L18</f>
        <v>235091910.25676584</v>
      </c>
      <c r="M6" s="1">
        <f ca="1">L6+Depreciation!M18</f>
        <v>252097367.3848643</v>
      </c>
      <c r="N6" s="1">
        <f ca="1">M6+Depreciation!N18</f>
        <v>269936952.40753305</v>
      </c>
      <c r="O6" s="1">
        <f ca="1">N6+Depreciation!O18</f>
        <v>288646635.92192543</v>
      </c>
      <c r="P6" s="1">
        <f ca="1">O6+Depreciation!P18</f>
        <v>308263836.49644852</v>
      </c>
      <c r="Q6" s="1">
        <f ca="1">P6+Depreciation!Q18</f>
        <v>328827476.50703192</v>
      </c>
      <c r="R6" s="1">
        <f ca="1">Q6+Depreciation!R18</f>
        <v>350378040.06419522</v>
      </c>
      <c r="S6" s="1">
        <f ca="1">R6+Depreciation!S18</f>
        <v>372957633.10754871</v>
      </c>
      <c r="T6" s="1">
        <f ca="1">S6+Depreciation!T18</f>
        <v>396610045.74712598</v>
      </c>
      <c r="U6" s="1">
        <f ca="1">T6+Depreciation!U18</f>
        <v>421380816.93380898</v>
      </c>
      <c r="V6" s="1">
        <f ca="1">U6+Depreciation!V18</f>
        <v>447317301.54406959</v>
      </c>
      <c r="W6" s="1">
        <f ca="1">V6+Depreciation!W18</f>
        <v>474468739.96732157</v>
      </c>
      <c r="X6" s="1">
        <f ca="1">W6+Depreciation!X18</f>
        <v>502886330.28735548</v>
      </c>
      <c r="Y6" s="1">
        <f ca="1">X6+Depreciation!Y18</f>
        <v>532623303.1526199</v>
      </c>
      <c r="Z6" s="1">
        <f ca="1">Y6+Depreciation!Z18</f>
        <v>563734999.43352199</v>
      </c>
      <c r="AA6" s="1">
        <f ca="1">Z6+Depreciation!AA18</f>
        <v>596278950.76844835</v>
      </c>
      <c r="AB6" s="1">
        <f ca="1">AA6+Depreciation!AB18</f>
        <v>630314963.10386503</v>
      </c>
      <c r="AC6" s="1">
        <f ca="1">AB6+Depreciation!AC18</f>
        <v>665905203.33763635</v>
      </c>
      <c r="AD6" s="1">
        <f ca="1">AC6+Depreciation!AD18</f>
        <v>703114289.1786257</v>
      </c>
      <c r="AE6" s="1">
        <f ca="1">AD6+Depreciation!AE18</f>
        <v>742009382.33969545</v>
      </c>
      <c r="AF6" s="1"/>
      <c r="AG6" s="1"/>
      <c r="AH6" s="1"/>
      <c r="AI6" s="1"/>
      <c r="AJ6" s="1"/>
      <c r="AK6" s="1"/>
      <c r="AL6" s="1"/>
      <c r="AM6" s="1"/>
      <c r="AN6" s="1"/>
      <c r="AO6" s="1"/>
      <c r="AP6" s="1"/>
    </row>
    <row r="7" spans="1:42" x14ac:dyDescent="0.35">
      <c r="A7" t="s">
        <v>12</v>
      </c>
      <c r="B7" s="1">
        <f>Depreciation!C12</f>
        <v>56916514.678224213</v>
      </c>
      <c r="C7" s="1">
        <f>Depreciation!D12</f>
        <v>59002765.314663596</v>
      </c>
      <c r="D7" s="1">
        <f>Depreciation!E12</f>
        <v>61374154.899613425</v>
      </c>
      <c r="E7" s="1">
        <f>Depreciation!F12</f>
        <v>64046796.005126655</v>
      </c>
      <c r="F7" s="1">
        <f>Depreciation!G12</f>
        <v>67037540.425584354</v>
      </c>
      <c r="G7" s="1">
        <f>Depreciation!H12</f>
        <v>70364009.988650918</v>
      </c>
      <c r="H7" s="1">
        <f>Depreciation!I12</f>
        <v>74044628.581166759</v>
      </c>
      <c r="I7" s="1">
        <f>Depreciation!J12</f>
        <v>78098655.436184064</v>
      </c>
      <c r="J7" s="1">
        <f>Depreciation!K12</f>
        <v>82546219.729064196</v>
      </c>
      <c r="K7" s="1">
        <f>Depreciation!L12</f>
        <v>87408356.532330826</v>
      </c>
      <c r="L7" s="1">
        <f>Depreciation!M12</f>
        <v>92707044.180812791</v>
      </c>
      <c r="M7" s="1">
        <f>Depreciation!N12</f>
        <v>98465243.100517318</v>
      </c>
      <c r="N7" s="1">
        <f>Depreciation!O12</f>
        <v>104706936.1566506</v>
      </c>
      <c r="O7" s="1">
        <f>Depreciation!P12</f>
        <v>111457170.57825032</v>
      </c>
      <c r="P7" s="1">
        <f>Depreciation!Q12</f>
        <v>118742101.51901682</v>
      </c>
      <c r="Q7" s="1">
        <f>Depreciation!R12</f>
        <v>126589037.31612907</v>
      </c>
      <c r="R7" s="1">
        <f>Depreciation!S12</f>
        <v>135026486.51110986</v>
      </c>
      <c r="S7" s="1">
        <f>Depreciation!T12</f>
        <v>144084206.69916654</v>
      </c>
      <c r="T7" s="1">
        <f>Depreciation!U12</f>
        <v>153793255.27588031</v>
      </c>
      <c r="U7" s="1">
        <f>Depreciation!V12</f>
        <v>164186042.15265262</v>
      </c>
      <c r="V7" s="1">
        <f>Depreciation!W12</f>
        <v>175296384.51494467</v>
      </c>
      <c r="W7" s="1">
        <f>Depreciation!X12</f>
        <v>187159563.70006794</v>
      </c>
      <c r="X7" s="1">
        <f>Depreciation!Y12</f>
        <v>199812384.27410462</v>
      </c>
      <c r="Y7" s="1">
        <f>Depreciation!Z12</f>
        <v>213293235.3904596</v>
      </c>
      <c r="Z7" s="1">
        <f>Depreciation!AA12</f>
        <v>227642154.51557344</v>
      </c>
      <c r="AA7" s="1">
        <f>Depreciation!AB12</f>
        <v>242900893.61046356</v>
      </c>
      <c r="AB7" s="1">
        <f>Depreciation!AC12</f>
        <v>259112987.86001152</v>
      </c>
      <c r="AC7" s="1">
        <f>Depreciation!AD12</f>
        <v>276323827.04528224</v>
      </c>
      <c r="AD7" s="1">
        <f>Depreciation!AE12</f>
        <v>294580729.65765047</v>
      </c>
      <c r="AE7" s="1">
        <f>Depreciation!AF12</f>
        <v>313933019.85712475</v>
      </c>
      <c r="AF7" s="1"/>
      <c r="AG7" s="1"/>
      <c r="AH7" s="1"/>
      <c r="AI7" s="1"/>
      <c r="AJ7" s="1"/>
      <c r="AK7" s="1"/>
      <c r="AL7" s="1"/>
      <c r="AM7" s="1"/>
      <c r="AN7" s="1"/>
      <c r="AO7" s="1"/>
      <c r="AP7" s="1"/>
    </row>
    <row r="8" spans="1:42" x14ac:dyDescent="0.35">
      <c r="A8" t="s">
        <v>191</v>
      </c>
      <c r="B8" s="1">
        <f t="shared" ref="B8:AE8" si="1">B6-B7</f>
        <v>53283485.321775787</v>
      </c>
      <c r="C8" s="1">
        <f t="shared" ca="1" si="1"/>
        <v>55291340.849980347</v>
      </c>
      <c r="D8" s="1">
        <f ca="1">D6-D7</f>
        <v>63823180.58946991</v>
      </c>
      <c r="E8" s="1">
        <f t="shared" ca="1" si="1"/>
        <v>72621051.074922502</v>
      </c>
      <c r="F8" s="1">
        <f t="shared" ca="1" si="1"/>
        <v>81693241.670186549</v>
      </c>
      <c r="G8" s="1">
        <f t="shared" ca="1" si="1"/>
        <v>91048299.842912853</v>
      </c>
      <c r="H8" s="1">
        <f t="shared" ca="1" si="1"/>
        <v>100695039.19488947</v>
      </c>
      <c r="I8" s="1">
        <f t="shared" ca="1" si="1"/>
        <v>110642547.74201955</v>
      </c>
      <c r="J8" s="1">
        <f t="shared" ca="1" si="1"/>
        <v>120900196.45169649</v>
      </c>
      <c r="K8" s="1">
        <f t="shared" ca="1" si="1"/>
        <v>131477648.04557101</v>
      </c>
      <c r="L8" s="1">
        <f t="shared" ca="1" si="1"/>
        <v>142384866.07595307</v>
      </c>
      <c r="M8" s="1">
        <f t="shared" ca="1" si="1"/>
        <v>153632124.284347</v>
      </c>
      <c r="N8" s="1">
        <f t="shared" ca="1" si="1"/>
        <v>165230016.25088245</v>
      </c>
      <c r="O8" s="1">
        <f t="shared" ca="1" si="1"/>
        <v>177189465.34367511</v>
      </c>
      <c r="P8" s="1">
        <f t="shared" ca="1" si="1"/>
        <v>189521734.97743171</v>
      </c>
      <c r="Q8" s="1">
        <f t="shared" ca="1" si="1"/>
        <v>202238439.19090283</v>
      </c>
      <c r="R8" s="1">
        <f t="shared" ca="1" si="1"/>
        <v>215351553.55308536</v>
      </c>
      <c r="S8" s="1">
        <f t="shared" ca="1" si="1"/>
        <v>228873426.40838218</v>
      </c>
      <c r="T8" s="1">
        <f t="shared" ca="1" si="1"/>
        <v>242816790.47124568</v>
      </c>
      <c r="U8" s="1">
        <f t="shared" ca="1" si="1"/>
        <v>257194774.78115636</v>
      </c>
      <c r="V8" s="1">
        <f t="shared" ca="1" si="1"/>
        <v>272020917.02912492</v>
      </c>
      <c r="W8" s="1">
        <f t="shared" ca="1" si="1"/>
        <v>287309176.26725364</v>
      </c>
      <c r="X8" s="1">
        <f t="shared" ca="1" si="1"/>
        <v>303073946.01325083</v>
      </c>
      <c r="Y8" s="1">
        <f t="shared" ca="1" si="1"/>
        <v>319330067.7621603</v>
      </c>
      <c r="Z8" s="1">
        <f t="shared" ca="1" si="1"/>
        <v>336092844.91794854</v>
      </c>
      <c r="AA8" s="1">
        <f t="shared" ca="1" si="1"/>
        <v>353378057.15798479</v>
      </c>
      <c r="AB8" s="1">
        <f t="shared" ca="1" si="1"/>
        <v>371201975.24385351</v>
      </c>
      <c r="AC8" s="1">
        <f t="shared" ca="1" si="1"/>
        <v>389581376.29235411</v>
      </c>
      <c r="AD8" s="1">
        <f t="shared" ca="1" si="1"/>
        <v>408533559.52097523</v>
      </c>
      <c r="AE8" s="1">
        <f t="shared" ca="1" si="1"/>
        <v>428076362.48257071</v>
      </c>
      <c r="AF8" s="1"/>
      <c r="AG8" s="1"/>
      <c r="AH8" s="1"/>
      <c r="AI8" s="1"/>
      <c r="AJ8" s="1"/>
      <c r="AK8" s="1"/>
      <c r="AL8" s="1"/>
      <c r="AM8" s="1"/>
      <c r="AN8" s="1"/>
      <c r="AO8" s="1"/>
      <c r="AP8" s="1"/>
    </row>
    <row r="10" spans="1:42" x14ac:dyDescent="0.35">
      <c r="A10" t="s">
        <v>17</v>
      </c>
      <c r="B10" s="1">
        <f>B8-B11</f>
        <v>52994485.321775787</v>
      </c>
      <c r="C10" s="1">
        <f ca="1">C8-C11</f>
        <v>48736348.336400084</v>
      </c>
      <c r="D10" s="1">
        <f ca="1">D8-D11</f>
        <v>50929940.204548284</v>
      </c>
      <c r="E10" s="1">
        <f t="shared" ref="E10:AE10" ca="1" si="2">E8-E11</f>
        <v>53454749.01053521</v>
      </c>
      <c r="F10" s="1">
        <f t="shared" ca="1" si="2"/>
        <v>56490639.797823787</v>
      </c>
      <c r="G10" s="1">
        <f ca="1">G8-G11</f>
        <v>60258294.484945193</v>
      </c>
      <c r="H10" s="1">
        <f t="shared" ca="1" si="2"/>
        <v>65026771.749052897</v>
      </c>
      <c r="I10" s="1">
        <f t="shared" ca="1" si="2"/>
        <v>70434665.16833739</v>
      </c>
      <c r="J10" s="1">
        <f t="shared" ca="1" si="2"/>
        <v>76342784.912967294</v>
      </c>
      <c r="K10" s="1">
        <f t="shared" ca="1" si="2"/>
        <v>82868817.629919901</v>
      </c>
      <c r="L10" s="1">
        <f t="shared" ca="1" si="2"/>
        <v>90147782.085085899</v>
      </c>
      <c r="M10" s="1">
        <f t="shared" ca="1" si="2"/>
        <v>98334082.077538073</v>
      </c>
      <c r="N10" s="1">
        <f t="shared" ca="1" si="2"/>
        <v>106927885.34740734</v>
      </c>
      <c r="O10" s="1">
        <f t="shared" ca="1" si="2"/>
        <v>115749931.85349639</v>
      </c>
      <c r="P10" s="1">
        <f t="shared" ca="1" si="2"/>
        <v>124829573.5917753</v>
      </c>
      <c r="Q10" s="1">
        <f t="shared" ca="1" si="2"/>
        <v>134199775.65132129</v>
      </c>
      <c r="R10" s="1">
        <f t="shared" ca="1" si="2"/>
        <v>143897449.88652393</v>
      </c>
      <c r="S10" s="1">
        <f t="shared" ca="1" si="2"/>
        <v>153963814.58116987</v>
      </c>
      <c r="T10" s="1">
        <f t="shared" ca="1" si="2"/>
        <v>164444781.93590924</v>
      </c>
      <c r="U10" s="1">
        <f t="shared" ca="1" si="2"/>
        <v>175221537.51000264</v>
      </c>
      <c r="V10" s="1">
        <f t="shared" ca="1" si="2"/>
        <v>186146356.7980988</v>
      </c>
      <c r="W10" s="1">
        <f t="shared" ca="1" si="2"/>
        <v>197229140.97719944</v>
      </c>
      <c r="X10" s="1">
        <f t="shared" ca="1" si="2"/>
        <v>208481281.84154993</v>
      </c>
      <c r="Y10" s="1">
        <f t="shared" ca="1" si="2"/>
        <v>219915808.57207561</v>
      </c>
      <c r="Z10" s="1">
        <f t="shared" ca="1" si="2"/>
        <v>231547545.75643644</v>
      </c>
      <c r="AA10" s="1">
        <f t="shared" ca="1" si="2"/>
        <v>243393283.40758952</v>
      </c>
      <c r="AB10" s="1">
        <f t="shared" ca="1" si="2"/>
        <v>255471959.77425236</v>
      </c>
      <c r="AC10" s="1">
        <f t="shared" ca="1" si="2"/>
        <v>267405172.8600421</v>
      </c>
      <c r="AD10" s="1">
        <f t="shared" ca="1" si="2"/>
        <v>279166531.0037123</v>
      </c>
      <c r="AE10" s="1">
        <f t="shared" ca="1" si="2"/>
        <v>290728200.08662117</v>
      </c>
      <c r="AF10" s="1"/>
      <c r="AG10" s="1"/>
      <c r="AH10" s="1"/>
      <c r="AI10" s="1"/>
      <c r="AJ10" s="1"/>
      <c r="AK10" s="1"/>
      <c r="AL10" s="1"/>
      <c r="AM10" s="1"/>
      <c r="AN10" s="1"/>
      <c r="AO10" s="1"/>
    </row>
    <row r="11" spans="1:42" x14ac:dyDescent="0.35">
      <c r="A11" t="s">
        <v>9</v>
      </c>
      <c r="B11" s="1">
        <f>Assumptions!$C$20</f>
        <v>289000</v>
      </c>
      <c r="C11" s="1">
        <f ca="1">'Debt worksheet'!D5</f>
        <v>6554992.5135802608</v>
      </c>
      <c r="D11" s="1">
        <f ca="1">'Debt worksheet'!E5</f>
        <v>12893240.384921625</v>
      </c>
      <c r="E11" s="1">
        <f ca="1">'Debt worksheet'!F5</f>
        <v>19166302.064387295</v>
      </c>
      <c r="F11" s="1">
        <f ca="1">'Debt worksheet'!G5</f>
        <v>25202601.872362763</v>
      </c>
      <c r="G11" s="1">
        <f ca="1">'Debt worksheet'!H5</f>
        <v>30790005.357967664</v>
      </c>
      <c r="H11" s="1">
        <f ca="1">'Debt worksheet'!I5</f>
        <v>35668267.445836574</v>
      </c>
      <c r="I11" s="1">
        <f ca="1">'Debt worksheet'!J5</f>
        <v>40207882.573682159</v>
      </c>
      <c r="J11" s="1">
        <f ca="1">'Debt worksheet'!K5</f>
        <v>44557411.538729183</v>
      </c>
      <c r="K11" s="1">
        <f ca="1">'Debt worksheet'!L5</f>
        <v>48608830.415651113</v>
      </c>
      <c r="L11" s="1">
        <f ca="1">'Debt worksheet'!M5</f>
        <v>52237083.990867168</v>
      </c>
      <c r="M11" s="1">
        <f ca="1">'Debt worksheet'!N5</f>
        <v>55298042.206808932</v>
      </c>
      <c r="N11" s="1">
        <f ca="1">'Debt worksheet'!O5</f>
        <v>58302130.903475106</v>
      </c>
      <c r="O11" s="1">
        <f ca="1">'Debt worksheet'!P5</f>
        <v>61439533.490178719</v>
      </c>
      <c r="P11" s="1">
        <f ca="1">'Debt worksheet'!Q5</f>
        <v>64692161.385656424</v>
      </c>
      <c r="Q11" s="1">
        <f ca="1">'Debt worksheet'!R5</f>
        <v>68038663.539581537</v>
      </c>
      <c r="R11" s="1">
        <f ca="1">'Debt worksheet'!S5</f>
        <v>71454103.666561425</v>
      </c>
      <c r="S11" s="1">
        <f ca="1">'Debt worksheet'!T5</f>
        <v>74909611.827212304</v>
      </c>
      <c r="T11" s="1">
        <f ca="1">'Debt worksheet'!U5</f>
        <v>78372008.535336435</v>
      </c>
      <c r="U11" s="1">
        <f ca="1">'Debt worksheet'!V5</f>
        <v>81973237.271153718</v>
      </c>
      <c r="V11" s="1">
        <f ca="1">'Debt worksheet'!W5</f>
        <v>85874560.231026113</v>
      </c>
      <c r="W11" s="1">
        <f ca="1">'Debt worksheet'!X5</f>
        <v>90080035.290054187</v>
      </c>
      <c r="X11" s="1">
        <f ca="1">'Debt worksheet'!Y5</f>
        <v>94592664.171700895</v>
      </c>
      <c r="Y11" s="1">
        <f ca="1">'Debt worksheet'!Z5</f>
        <v>99414259.190084696</v>
      </c>
      <c r="Z11" s="1">
        <f ca="1">'Debt worksheet'!AA5</f>
        <v>104545299.16151211</v>
      </c>
      <c r="AA11" s="1">
        <f ca="1">'Debt worksheet'!AB5</f>
        <v>109984773.75039527</v>
      </c>
      <c r="AB11" s="1">
        <f ca="1">'Debt worksheet'!AC5</f>
        <v>115730015.46960115</v>
      </c>
      <c r="AC11" s="1">
        <f ca="1">'Debt worksheet'!AD5</f>
        <v>122176203.43231201</v>
      </c>
      <c r="AD11" s="1">
        <f ca="1">'Debt worksheet'!AE5</f>
        <v>129367028.51726291</v>
      </c>
      <c r="AE11" s="1">
        <f ca="1">'Debt worksheet'!AF5</f>
        <v>137348162.39594957</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150" zoomScaleNormal="15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2277591.4864197411</v>
      </c>
      <c r="D5" s="4">
        <f ca="1">'Profit and Loss'!D9</f>
        <v>2478730.8166586366</v>
      </c>
      <c r="E5" s="4">
        <f ca="1">'Profit and Loss'!E9</f>
        <v>2826060.3265503296</v>
      </c>
      <c r="F5" s="4">
        <f ca="1">'Profit and Loss'!F9</f>
        <v>3353994.1022330434</v>
      </c>
      <c r="G5" s="4">
        <f ca="1">'Profit and Loss'!G9</f>
        <v>4103379.8297302816</v>
      </c>
      <c r="H5" s="4">
        <f ca="1">'Profit and Loss'!H9</f>
        <v>5122626.2935570031</v>
      </c>
      <c r="I5" s="4">
        <f ca="1">'Profit and Loss'!I9</f>
        <v>5781301.681785956</v>
      </c>
      <c r="J5" s="4">
        <f ca="1">'Profit and Loss'!J9</f>
        <v>6301657.1824927228</v>
      </c>
      <c r="K5" s="4">
        <f ca="1">'Profit and Loss'!K9</f>
        <v>6940605.227339088</v>
      </c>
      <c r="L5" s="4">
        <f ca="1">'Profit and Loss'!L9</f>
        <v>7715515.300381314</v>
      </c>
      <c r="M5" s="4">
        <f ca="1">'Profit and Loss'!M9</f>
        <v>8645811.263674723</v>
      </c>
      <c r="N5" s="4">
        <f ca="1">'Profit and Loss'!N9</f>
        <v>9077297.4062980413</v>
      </c>
      <c r="O5" s="4">
        <f ca="1">'Profit and Loss'!O9</f>
        <v>9330587.871555455</v>
      </c>
      <c r="P5" s="4">
        <f ca="1">'Profit and Loss'!P9</f>
        <v>9614338.2574456595</v>
      </c>
      <c r="Q5" s="4">
        <f ca="1">'Profit and Loss'!Q9</f>
        <v>9932206.9158917926</v>
      </c>
      <c r="R5" s="4">
        <f ca="1">'Profit and Loss'!R9</f>
        <v>10288187.633071167</v>
      </c>
      <c r="S5" s="4">
        <f ca="1">'Profit and Loss'!S9</f>
        <v>10686635.687721808</v>
      </c>
      <c r="T5" s="4">
        <f ca="1">'Profit and Loss'!T9</f>
        <v>11132295.743396467</v>
      </c>
      <c r="U5" s="4">
        <f ca="1">'Profit and Loss'!U9</f>
        <v>11460493.874151977</v>
      </c>
      <c r="V5" s="4">
        <f ca="1">'Profit and Loss'!V9</f>
        <v>11642374.773615887</v>
      </c>
      <c r="W5" s="4">
        <f ca="1">'Profit and Loss'!W9</f>
        <v>11835621.001931831</v>
      </c>
      <c r="X5" s="4">
        <f ca="1">'Profit and Loss'!X9</f>
        <v>12041782.253263917</v>
      </c>
      <c r="Y5" s="4">
        <f ca="1">'Profit and Loss'!Y9</f>
        <v>12262557.272843957</v>
      </c>
      <c r="Z5" s="4">
        <f ca="1">'Profit and Loss'!Z9</f>
        <v>12499805.193119634</v>
      </c>
      <c r="AA5" s="4">
        <f ca="1">'Profit and Loss'!AA9</f>
        <v>12755557.620929396</v>
      </c>
      <c r="AB5" s="4">
        <f ca="1">'Profit and Loss'!AB9</f>
        <v>13032031.521320669</v>
      </c>
      <c r="AC5" s="4">
        <f ca="1">'Profit and Loss'!AC9</f>
        <v>12931958.021512555</v>
      </c>
      <c r="AD5" s="4">
        <f ca="1">'Profit and Loss'!AD9</f>
        <v>12807421.570767671</v>
      </c>
      <c r="AE5" s="4">
        <f ca="1">'Profit and Loss'!AE9</f>
        <v>12657056.670014877</v>
      </c>
      <c r="AF5" s="4">
        <f ca="1">'Profit and Loss'!AF9</f>
        <v>12479446.463953162</v>
      </c>
      <c r="AG5" s="4"/>
      <c r="AH5" s="4"/>
      <c r="AI5" s="4"/>
      <c r="AJ5" s="4"/>
      <c r="AK5" s="4"/>
      <c r="AL5" s="4"/>
      <c r="AM5" s="4"/>
      <c r="AN5" s="4"/>
      <c r="AO5" s="4"/>
      <c r="AP5" s="4"/>
    </row>
    <row r="6" spans="1:42" x14ac:dyDescent="0.35">
      <c r="A6" t="s">
        <v>21</v>
      </c>
      <c r="C6" s="4">
        <f>Depreciation!C8+Depreciation!C9</f>
        <v>1816514.6782242102</v>
      </c>
      <c r="D6" s="4">
        <f>Depreciation!D8+Depreciation!D9</f>
        <v>2086250.6364393844</v>
      </c>
      <c r="E6" s="4">
        <f>Depreciation!E8+Depreciation!E9</f>
        <v>2371389.5849498287</v>
      </c>
      <c r="F6" s="4">
        <f>Depreciation!F8+Depreciation!F9</f>
        <v>2672641.1055132276</v>
      </c>
      <c r="G6" s="4">
        <f>Depreciation!G8+Depreciation!G9</f>
        <v>2990744.4204576956</v>
      </c>
      <c r="H6" s="4">
        <f>Depreciation!H8+Depreciation!H9</f>
        <v>3326469.5630665631</v>
      </c>
      <c r="I6" s="4">
        <f>Depreciation!I8+Depreciation!I9</f>
        <v>3680618.5925158495</v>
      </c>
      <c r="J6" s="4">
        <f>Depreciation!J8+Depreciation!J9</f>
        <v>4054026.8550173109</v>
      </c>
      <c r="K6" s="4">
        <f>Depreciation!K8+Depreciation!K9</f>
        <v>4447564.29288013</v>
      </c>
      <c r="L6" s="4">
        <f>Depreciation!L8+Depreciation!L9</f>
        <v>4862136.8032666314</v>
      </c>
      <c r="M6" s="4">
        <f>Depreciation!M8+Depreciation!M9</f>
        <v>5298687.6484819595</v>
      </c>
      <c r="N6" s="4">
        <f>Depreciation!N8+Depreciation!N9</f>
        <v>5758198.9197045229</v>
      </c>
      <c r="O6" s="4">
        <f>Depreciation!O8+Depreciation!O9</f>
        <v>6241693.0561332861</v>
      </c>
      <c r="P6" s="4">
        <f>Depreciation!P8+Depreciation!P9</f>
        <v>6750234.4215997104</v>
      </c>
      <c r="Q6" s="4">
        <f>Depreciation!Q8+Depreciation!Q9</f>
        <v>7284930.9407665059</v>
      </c>
      <c r="R6" s="4">
        <f>Depreciation!R8+Depreciation!R9</f>
        <v>7846935.7971122619</v>
      </c>
      <c r="S6" s="4">
        <f>Depreciation!S8+Depreciation!S9</f>
        <v>8437449.1949807983</v>
      </c>
      <c r="T6" s="4">
        <f>Depreciation!T8+Depreciation!T9</f>
        <v>9057720.1880566776</v>
      </c>
      <c r="U6" s="4">
        <f>Depreciation!U8+Depreciation!U9</f>
        <v>9709048.5767137539</v>
      </c>
      <c r="V6" s="4">
        <f>Depreciation!V8+Depreciation!V9</f>
        <v>10392786.876772311</v>
      </c>
      <c r="W6" s="4">
        <f>Depreciation!W8+Depreciation!W9</f>
        <v>11110342.362292064</v>
      </c>
      <c r="X6" s="4">
        <f>Depreciation!X8+Depreciation!X9</f>
        <v>11863179.185123265</v>
      </c>
      <c r="Y6" s="4">
        <f>Depreciation!Y8+Depreciation!Y9</f>
        <v>12652820.574036673</v>
      </c>
      <c r="Z6" s="4">
        <f>Depreciation!Z8+Depreciation!Z9</f>
        <v>13480851.116354976</v>
      </c>
      <c r="AA6" s="4">
        <f>Depreciation!AA8+Depreciation!AA9</f>
        <v>14348919.125113837</v>
      </c>
      <c r="AB6" s="4">
        <f>Depreciation!AB8+Depreciation!AB9</f>
        <v>15258739.094890118</v>
      </c>
      <c r="AC6" s="4">
        <f>Depreciation!AC8+Depreciation!AC9</f>
        <v>16212094.249547958</v>
      </c>
      <c r="AD6" s="4">
        <f>Depreciation!AD8+Depreciation!AD9</f>
        <v>17210839.185270738</v>
      </c>
      <c r="AE6" s="4">
        <f>Depreciation!AE8+Depreciation!AE9</f>
        <v>18256902.612368241</v>
      </c>
      <c r="AF6" s="4">
        <f>Depreciation!AF8+Depreciation!AF9</f>
        <v>19352290.19947426</v>
      </c>
      <c r="AG6" s="4"/>
      <c r="AH6" s="4"/>
      <c r="AI6" s="4"/>
      <c r="AJ6" s="4"/>
      <c r="AK6" s="4"/>
      <c r="AL6" s="4"/>
      <c r="AM6" s="4"/>
      <c r="AN6" s="4"/>
      <c r="AO6" s="4"/>
      <c r="AP6" s="4"/>
    </row>
    <row r="7" spans="1:42" x14ac:dyDescent="0.35">
      <c r="A7" t="s">
        <v>23</v>
      </c>
      <c r="C7" s="4">
        <f ca="1">C6+C5</f>
        <v>4094106.1646439512</v>
      </c>
      <c r="D7" s="4">
        <f ca="1">D6+D5</f>
        <v>4564981.4530980214</v>
      </c>
      <c r="E7" s="4">
        <f t="shared" ref="E7:AF7" ca="1" si="1">E6+E5</f>
        <v>5197449.9115001578</v>
      </c>
      <c r="F7" s="4">
        <f t="shared" ca="1" si="1"/>
        <v>6026635.207746271</v>
      </c>
      <c r="G7" s="4">
        <f ca="1">G6+G5</f>
        <v>7094124.2501879772</v>
      </c>
      <c r="H7" s="4">
        <f t="shared" ca="1" si="1"/>
        <v>8449095.8566235658</v>
      </c>
      <c r="I7" s="4">
        <f t="shared" ca="1" si="1"/>
        <v>9461920.2743018046</v>
      </c>
      <c r="J7" s="4">
        <f t="shared" ca="1" si="1"/>
        <v>10355684.037510034</v>
      </c>
      <c r="K7" s="4">
        <f t="shared" ca="1" si="1"/>
        <v>11388169.520219218</v>
      </c>
      <c r="L7" s="4">
        <f t="shared" ca="1" si="1"/>
        <v>12577652.103647945</v>
      </c>
      <c r="M7" s="4">
        <f t="shared" ca="1" si="1"/>
        <v>13944498.912156682</v>
      </c>
      <c r="N7" s="4">
        <f t="shared" ca="1" si="1"/>
        <v>14835496.326002564</v>
      </c>
      <c r="O7" s="4">
        <f t="shared" ca="1" si="1"/>
        <v>15572280.92768874</v>
      </c>
      <c r="P7" s="4">
        <f t="shared" ca="1" si="1"/>
        <v>16364572.67904537</v>
      </c>
      <c r="Q7" s="4">
        <f t="shared" ca="1" si="1"/>
        <v>17217137.856658299</v>
      </c>
      <c r="R7" s="4">
        <f t="shared" ca="1" si="1"/>
        <v>18135123.430183429</v>
      </c>
      <c r="S7" s="4">
        <f t="shared" ca="1" si="1"/>
        <v>19124084.882702604</v>
      </c>
      <c r="T7" s="4">
        <f t="shared" ca="1" si="1"/>
        <v>20190015.931453146</v>
      </c>
      <c r="U7" s="4">
        <f t="shared" ca="1" si="1"/>
        <v>21169542.450865731</v>
      </c>
      <c r="V7" s="4">
        <f t="shared" ca="1" si="1"/>
        <v>22035161.650388196</v>
      </c>
      <c r="W7" s="4">
        <f t="shared" ca="1" si="1"/>
        <v>22945963.364223897</v>
      </c>
      <c r="X7" s="4">
        <f t="shared" ca="1" si="1"/>
        <v>23904961.438387182</v>
      </c>
      <c r="Y7" s="4">
        <f t="shared" ca="1" si="1"/>
        <v>24915377.84688063</v>
      </c>
      <c r="Z7" s="4">
        <f t="shared" ca="1" si="1"/>
        <v>25980656.30947461</v>
      </c>
      <c r="AA7" s="4">
        <f t="shared" ca="1" si="1"/>
        <v>27104476.746043235</v>
      </c>
      <c r="AB7" s="4">
        <f t="shared" ca="1" si="1"/>
        <v>28290770.616210788</v>
      </c>
      <c r="AC7" s="4">
        <f t="shared" ca="1" si="1"/>
        <v>29144052.271060511</v>
      </c>
      <c r="AD7" s="4">
        <f t="shared" ca="1" si="1"/>
        <v>30018260.756038409</v>
      </c>
      <c r="AE7" s="4">
        <f t="shared" ca="1" si="1"/>
        <v>30913959.282383118</v>
      </c>
      <c r="AF7" s="4">
        <f t="shared" ca="1" si="1"/>
        <v>31831736.66342742</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10360098.678224212</v>
      </c>
      <c r="D10" s="9">
        <f>Investment!D25</f>
        <v>10903229.324439386</v>
      </c>
      <c r="E10" s="9">
        <f>Investment!E25</f>
        <v>11470511.590965828</v>
      </c>
      <c r="F10" s="9">
        <f>Investment!F25</f>
        <v>12062935.015721738</v>
      </c>
      <c r="G10" s="9">
        <f>Investment!G25</f>
        <v>12681527.735792879</v>
      </c>
      <c r="H10" s="9">
        <f>Investment!H25</f>
        <v>13327357.944492474</v>
      </c>
      <c r="I10" s="9">
        <f>Investment!I25</f>
        <v>14001535.402147386</v>
      </c>
      <c r="J10" s="9">
        <f>Investment!J25</f>
        <v>14705213.00255706</v>
      </c>
      <c r="K10" s="9">
        <f>Investment!K25</f>
        <v>15439588.397141151</v>
      </c>
      <c r="L10" s="9">
        <f>Investment!L25</f>
        <v>16205905.678864002</v>
      </c>
      <c r="M10" s="9">
        <f>Investment!M25</f>
        <v>17005457.128098447</v>
      </c>
      <c r="N10" s="9">
        <f>Investment!N25</f>
        <v>17839585.022668742</v>
      </c>
      <c r="O10" s="9">
        <f>Investment!O25</f>
        <v>18709683.514392357</v>
      </c>
      <c r="P10" s="9">
        <f>Investment!P25</f>
        <v>19617200.574523073</v>
      </c>
      <c r="Q10" s="9">
        <f>Investment!Q25</f>
        <v>20563640.010583412</v>
      </c>
      <c r="R10" s="9">
        <f>Investment!R25</f>
        <v>21550563.557163313</v>
      </c>
      <c r="S10" s="9">
        <f>Investment!S25</f>
        <v>22579593.043353483</v>
      </c>
      <c r="T10" s="9">
        <f>Investment!T25</f>
        <v>23652412.639577284</v>
      </c>
      <c r="U10" s="9">
        <f>Investment!U25</f>
        <v>24770771.186683021</v>
      </c>
      <c r="V10" s="9">
        <f>Investment!V25</f>
        <v>25936484.610260595</v>
      </c>
      <c r="W10" s="9">
        <f>Investment!W25</f>
        <v>27151438.423251975</v>
      </c>
      <c r="X10" s="9">
        <f>Investment!X25</f>
        <v>28417590.320033893</v>
      </c>
      <c r="Y10" s="9">
        <f>Investment!Y25</f>
        <v>29736972.865264438</v>
      </c>
      <c r="Z10" s="9">
        <f>Investment!Z25</f>
        <v>31111696.280902028</v>
      </c>
      <c r="AA10" s="9">
        <f>Investment!AA25</f>
        <v>32543951.3349264</v>
      </c>
      <c r="AB10" s="9">
        <f>Investment!AB25</f>
        <v>34036012.335416675</v>
      </c>
      <c r="AC10" s="9">
        <f>Investment!AC25</f>
        <v>35590240.233771369</v>
      </c>
      <c r="AD10" s="9">
        <f>Investment!AD25</f>
        <v>37209085.840989299</v>
      </c>
      <c r="AE10" s="9">
        <f>Investment!AE25</f>
        <v>38895093.161069795</v>
      </c>
      <c r="AF10" s="9">
        <f>Investment!AF25</f>
        <v>40650902.845734268</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-6265992.5135802608</v>
      </c>
      <c r="D12" s="1">
        <f t="shared" ref="D12:AF12" ca="1" si="2">D7-D9-D10</f>
        <v>-6338247.8713413645</v>
      </c>
      <c r="E12" s="1">
        <f ca="1">E7-E9-E10</f>
        <v>-6273061.6794656701</v>
      </c>
      <c r="F12" s="1">
        <f t="shared" ca="1" si="2"/>
        <v>-6036299.8079754673</v>
      </c>
      <c r="G12" s="1">
        <f ca="1">G7-G9-G10</f>
        <v>-5587403.4856049018</v>
      </c>
      <c r="H12" s="1">
        <f t="shared" ca="1" si="2"/>
        <v>-4878262.0878689084</v>
      </c>
      <c r="I12" s="1">
        <f t="shared" ca="1" si="2"/>
        <v>-4539615.1278455816</v>
      </c>
      <c r="J12" s="1">
        <f t="shared" ca="1" si="2"/>
        <v>-4349528.9650470261</v>
      </c>
      <c r="K12" s="1">
        <f t="shared" ca="1" si="2"/>
        <v>-4051418.8769219331</v>
      </c>
      <c r="L12" s="1">
        <f t="shared" ca="1" si="2"/>
        <v>-3628253.5752160568</v>
      </c>
      <c r="M12" s="1">
        <f t="shared" ca="1" si="2"/>
        <v>-3060958.2159417644</v>
      </c>
      <c r="N12" s="1">
        <f t="shared" ca="1" si="2"/>
        <v>-3004088.6966661774</v>
      </c>
      <c r="O12" s="1">
        <f t="shared" ca="1" si="2"/>
        <v>-3137402.5867036171</v>
      </c>
      <c r="P12" s="1">
        <f t="shared" ca="1" si="2"/>
        <v>-3252627.8954777028</v>
      </c>
      <c r="Q12" s="1">
        <f t="shared" ca="1" si="2"/>
        <v>-3346502.1539251134</v>
      </c>
      <c r="R12" s="1">
        <f t="shared" ca="1" si="2"/>
        <v>-3415440.1269798838</v>
      </c>
      <c r="S12" s="1">
        <f t="shared" ca="1" si="2"/>
        <v>-3455508.1606508791</v>
      </c>
      <c r="T12" s="1">
        <f t="shared" ca="1" si="2"/>
        <v>-3462396.7081241384</v>
      </c>
      <c r="U12" s="1">
        <f t="shared" ca="1" si="2"/>
        <v>-3601228.7358172908</v>
      </c>
      <c r="V12" s="1">
        <f t="shared" ca="1" si="2"/>
        <v>-3901322.9598723985</v>
      </c>
      <c r="W12" s="1">
        <f t="shared" ca="1" si="2"/>
        <v>-4205475.0590280779</v>
      </c>
      <c r="X12" s="1">
        <f t="shared" ca="1" si="2"/>
        <v>-4512628.8816467114</v>
      </c>
      <c r="Y12" s="1">
        <f t="shared" ca="1" si="2"/>
        <v>-4821595.0183838084</v>
      </c>
      <c r="Z12" s="1">
        <f t="shared" ca="1" si="2"/>
        <v>-5131039.9714274183</v>
      </c>
      <c r="AA12" s="1">
        <f t="shared" ca="1" si="2"/>
        <v>-5439474.5888831653</v>
      </c>
      <c r="AB12" s="1">
        <f t="shared" ca="1" si="2"/>
        <v>-5745241.7192058861</v>
      </c>
      <c r="AC12" s="1">
        <f t="shared" ca="1" si="2"/>
        <v>-6446187.9627108574</v>
      </c>
      <c r="AD12" s="1">
        <f t="shared" ca="1" si="2"/>
        <v>-7190825.0849508904</v>
      </c>
      <c r="AE12" s="1">
        <f t="shared" ca="1" si="2"/>
        <v>-7981133.8786866777</v>
      </c>
      <c r="AF12" s="1">
        <f t="shared" ca="1" si="2"/>
        <v>-8819166.1823068485</v>
      </c>
      <c r="AG12" s="1"/>
      <c r="AH12" s="1"/>
      <c r="AI12" s="1"/>
      <c r="AJ12" s="1"/>
      <c r="AK12" s="1"/>
      <c r="AL12" s="1"/>
      <c r="AM12" s="1"/>
      <c r="AN12" s="1"/>
      <c r="AO12" s="1"/>
      <c r="AP12" s="1"/>
    </row>
    <row r="13" spans="1:42" x14ac:dyDescent="0.35">
      <c r="A13" t="s">
        <v>19</v>
      </c>
      <c r="C13" s="1">
        <f ca="1">C12</f>
        <v>-6265992.5135802608</v>
      </c>
      <c r="D13" s="1">
        <f ca="1">D12</f>
        <v>-6338247.8713413645</v>
      </c>
      <c r="E13" s="1">
        <f ca="1">E12</f>
        <v>-6273061.6794656701</v>
      </c>
      <c r="F13" s="1">
        <f t="shared" ref="F13:AF13" ca="1" si="3">F12</f>
        <v>-6036299.8079754673</v>
      </c>
      <c r="G13" s="1">
        <f ca="1">G12</f>
        <v>-5587403.4856049018</v>
      </c>
      <c r="H13" s="1">
        <f t="shared" ca="1" si="3"/>
        <v>-4878262.0878689084</v>
      </c>
      <c r="I13" s="1">
        <f t="shared" ca="1" si="3"/>
        <v>-4539615.1278455816</v>
      </c>
      <c r="J13" s="1">
        <f t="shared" ca="1" si="3"/>
        <v>-4349528.9650470261</v>
      </c>
      <c r="K13" s="1">
        <f t="shared" ca="1" si="3"/>
        <v>-4051418.8769219331</v>
      </c>
      <c r="L13" s="1">
        <f t="shared" ca="1" si="3"/>
        <v>-3628253.5752160568</v>
      </c>
      <c r="M13" s="1">
        <f t="shared" ca="1" si="3"/>
        <v>-3060958.2159417644</v>
      </c>
      <c r="N13" s="1">
        <f t="shared" ca="1" si="3"/>
        <v>-3004088.6966661774</v>
      </c>
      <c r="O13" s="1">
        <f t="shared" ca="1" si="3"/>
        <v>-3137402.5867036171</v>
      </c>
      <c r="P13" s="1">
        <f t="shared" ca="1" si="3"/>
        <v>-3252627.8954777028</v>
      </c>
      <c r="Q13" s="1">
        <f t="shared" ca="1" si="3"/>
        <v>-3346502.1539251134</v>
      </c>
      <c r="R13" s="1">
        <f t="shared" ca="1" si="3"/>
        <v>-3415440.1269798838</v>
      </c>
      <c r="S13" s="1">
        <f t="shared" ca="1" si="3"/>
        <v>-3455508.1606508791</v>
      </c>
      <c r="T13" s="1">
        <f t="shared" ca="1" si="3"/>
        <v>-3462396.7081241384</v>
      </c>
      <c r="U13" s="1">
        <f t="shared" ca="1" si="3"/>
        <v>-3601228.7358172908</v>
      </c>
      <c r="V13" s="1">
        <f t="shared" ca="1" si="3"/>
        <v>-3901322.9598723985</v>
      </c>
      <c r="W13" s="1">
        <f t="shared" ca="1" si="3"/>
        <v>-4205475.0590280779</v>
      </c>
      <c r="X13" s="1">
        <f t="shared" ca="1" si="3"/>
        <v>-4512628.8816467114</v>
      </c>
      <c r="Y13" s="1">
        <f t="shared" ca="1" si="3"/>
        <v>-4821595.0183838084</v>
      </c>
      <c r="Z13" s="1">
        <f t="shared" ca="1" si="3"/>
        <v>-5131039.9714274183</v>
      </c>
      <c r="AA13" s="1">
        <f t="shared" ca="1" si="3"/>
        <v>-5439474.5888831653</v>
      </c>
      <c r="AB13" s="1">
        <f t="shared" ca="1" si="3"/>
        <v>-5745241.7192058861</v>
      </c>
      <c r="AC13" s="1">
        <f t="shared" ca="1" si="3"/>
        <v>-6446187.9627108574</v>
      </c>
      <c r="AD13" s="1">
        <f t="shared" ca="1" si="3"/>
        <v>-7190825.0849508904</v>
      </c>
      <c r="AE13" s="1">
        <f t="shared" ca="1" si="3"/>
        <v>-7981133.8786866777</v>
      </c>
      <c r="AF13" s="1">
        <f t="shared" ca="1" si="3"/>
        <v>-8819166.1823068485</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120" zoomScaleNormal="12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110200000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55100000</v>
      </c>
      <c r="D7" s="9">
        <f>C12</f>
        <v>56916514.678224213</v>
      </c>
      <c r="E7" s="9">
        <f>D12</f>
        <v>59002765.314663596</v>
      </c>
      <c r="F7" s="9">
        <f t="shared" ref="F7:H7" si="1">E12</f>
        <v>61374154.899613425</v>
      </c>
      <c r="G7" s="9">
        <f t="shared" si="1"/>
        <v>64046796.005126655</v>
      </c>
      <c r="H7" s="9">
        <f t="shared" si="1"/>
        <v>67037540.425584354</v>
      </c>
      <c r="I7" s="9">
        <f t="shared" ref="I7" si="2">H12</f>
        <v>70364009.988650918</v>
      </c>
      <c r="J7" s="9">
        <f t="shared" ref="J7" si="3">I12</f>
        <v>74044628.581166759</v>
      </c>
      <c r="K7" s="9">
        <f t="shared" ref="K7" si="4">J12</f>
        <v>78098655.436184064</v>
      </c>
      <c r="L7" s="9">
        <f t="shared" ref="L7" si="5">K12</f>
        <v>82546219.729064196</v>
      </c>
      <c r="M7" s="9">
        <f t="shared" ref="M7" si="6">L12</f>
        <v>87408356.532330826</v>
      </c>
      <c r="N7" s="9">
        <f t="shared" ref="N7" si="7">M12</f>
        <v>92707044.180812791</v>
      </c>
      <c r="O7" s="9">
        <f t="shared" ref="O7" si="8">N12</f>
        <v>98465243.100517318</v>
      </c>
      <c r="P7" s="9">
        <f t="shared" ref="P7" si="9">O12</f>
        <v>104706936.1566506</v>
      </c>
      <c r="Q7" s="9">
        <f t="shared" ref="Q7" si="10">P12</f>
        <v>111457170.57825032</v>
      </c>
      <c r="R7" s="9">
        <f t="shared" ref="R7" si="11">Q12</f>
        <v>118742101.51901682</v>
      </c>
      <c r="S7" s="9">
        <f t="shared" ref="S7" si="12">R12</f>
        <v>126589037.31612907</v>
      </c>
      <c r="T7" s="9">
        <f t="shared" ref="T7" si="13">S12</f>
        <v>135026486.51110986</v>
      </c>
      <c r="U7" s="9">
        <f t="shared" ref="U7" si="14">T12</f>
        <v>144084206.69916654</v>
      </c>
      <c r="V7" s="9">
        <f t="shared" ref="V7" si="15">U12</f>
        <v>153793255.27588031</v>
      </c>
      <c r="W7" s="9">
        <f t="shared" ref="W7" si="16">V12</f>
        <v>164186042.15265262</v>
      </c>
      <c r="X7" s="9">
        <f t="shared" ref="X7" si="17">W12</f>
        <v>175296384.51494467</v>
      </c>
      <c r="Y7" s="9">
        <f t="shared" ref="Y7" si="18">X12</f>
        <v>187159563.70006794</v>
      </c>
      <c r="Z7" s="9">
        <f t="shared" ref="Z7" si="19">Y12</f>
        <v>199812384.27410462</v>
      </c>
      <c r="AA7" s="9">
        <f t="shared" ref="AA7" si="20">Z12</f>
        <v>213293235.3904596</v>
      </c>
      <c r="AB7" s="9">
        <f t="shared" ref="AB7" si="21">AA12</f>
        <v>227642154.51557344</v>
      </c>
      <c r="AC7" s="9">
        <f t="shared" ref="AC7" si="22">AB12</f>
        <v>242900893.61046356</v>
      </c>
      <c r="AD7" s="9">
        <f t="shared" ref="AD7" si="23">AC12</f>
        <v>259112987.86001152</v>
      </c>
      <c r="AE7" s="9">
        <f t="shared" ref="AE7" si="24">AD12</f>
        <v>276323827.04528224</v>
      </c>
      <c r="AF7" s="9">
        <f t="shared" ref="AF7" si="25">AE12</f>
        <v>294580729.65765047</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1611468.6622242101</v>
      </c>
      <c r="D8" s="9">
        <f>Assumptions!E111*Assumptions!E11</f>
        <v>1663035.6594153845</v>
      </c>
      <c r="E8" s="9">
        <f>Assumptions!F111*Assumptions!F11</f>
        <v>1716252.8005166769</v>
      </c>
      <c r="F8" s="9">
        <f>Assumptions!G111*Assumptions!G11</f>
        <v>1771172.8901332105</v>
      </c>
      <c r="G8" s="9">
        <f>Assumptions!H111*Assumptions!H11</f>
        <v>1827850.4226174734</v>
      </c>
      <c r="H8" s="9">
        <f>Assumptions!I111*Assumptions!I11</f>
        <v>1886341.6361412322</v>
      </c>
      <c r="I8" s="9">
        <f>Assumptions!J111*Assumptions!J11</f>
        <v>1946704.5684977516</v>
      </c>
      <c r="J8" s="9">
        <f>Assumptions!K111*Assumptions!K11</f>
        <v>2008999.1146896798</v>
      </c>
      <c r="K8" s="9">
        <f>Assumptions!L111*Assumptions!L11</f>
        <v>2073287.0863597498</v>
      </c>
      <c r="L8" s="9">
        <f>Assumptions!M111*Assumptions!M11</f>
        <v>2139632.2731232615</v>
      </c>
      <c r="M8" s="9">
        <f>Assumptions!N111*Assumptions!N11</f>
        <v>2208100.505863206</v>
      </c>
      <c r="N8" s="9">
        <f>Assumptions!O111*Assumptions!O11</f>
        <v>2278759.7220508284</v>
      </c>
      <c r="O8" s="9">
        <f>Assumptions!P111*Assumptions!P11</f>
        <v>2351680.033156455</v>
      </c>
      <c r="P8" s="9">
        <f>Assumptions!Q111*Assumptions!Q11</f>
        <v>2426933.7942174613</v>
      </c>
      <c r="Q8" s="9">
        <f>Assumptions!R111*Assumptions!R11</f>
        <v>2504595.6756324195</v>
      </c>
      <c r="R8" s="9">
        <f>Assumptions!S111*Assumptions!S11</f>
        <v>2584742.7372526578</v>
      </c>
      <c r="S8" s="9">
        <f>Assumptions!T111*Assumptions!T11</f>
        <v>2667454.5048447428</v>
      </c>
      <c r="T8" s="9">
        <f>Assumptions!U111*Assumptions!U11</f>
        <v>2752813.0489997743</v>
      </c>
      <c r="U8" s="9">
        <f>Assumptions!V111*Assumptions!V11</f>
        <v>2840903.0665677669</v>
      </c>
      <c r="V8" s="9">
        <f>Assumptions!W111*Assumptions!W11</f>
        <v>2931811.9646979356</v>
      </c>
      <c r="W8" s="9">
        <f>Assumptions!X111*Assumptions!X11</f>
        <v>3025629.9475682699</v>
      </c>
      <c r="X8" s="9">
        <f>Assumptions!Y111*Assumptions!Y11</f>
        <v>3122450.1058904543</v>
      </c>
      <c r="Y8" s="9">
        <f>Assumptions!Z111*Assumptions!Z11</f>
        <v>3222368.5092789484</v>
      </c>
      <c r="Z8" s="9">
        <f>Assumptions!AA111*Assumptions!AA11</f>
        <v>3325484.3015758749</v>
      </c>
      <c r="AA8" s="9">
        <f>Assumptions!AB111*Assumptions!AB11</f>
        <v>3431899.7992263036</v>
      </c>
      <c r="AB8" s="9">
        <f>Assumptions!AC111*Assumptions!AC11</f>
        <v>3541720.5928015448</v>
      </c>
      <c r="AC8" s="9">
        <f>Assumptions!AD111*Assumptions!AD11</f>
        <v>3655055.6517711938</v>
      </c>
      <c r="AD8" s="9">
        <f>Assumptions!AE111*Assumptions!AE11</f>
        <v>3772017.4326278726</v>
      </c>
      <c r="AE8" s="9">
        <f>Assumptions!AF111*Assumptions!AF11</f>
        <v>3892721.9904719647</v>
      </c>
      <c r="AF8" s="9">
        <f>Assumptions!AG111*Assumptions!AG11</f>
        <v>4017289.0941670667</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205046.016</v>
      </c>
      <c r="D9" s="9">
        <f>Assumptions!E120*Assumptions!E11</f>
        <v>423214.97702399996</v>
      </c>
      <c r="E9" s="9">
        <f>Assumptions!F120*Assumptions!F11</f>
        <v>655136.78443315194</v>
      </c>
      <c r="F9" s="9">
        <f>Assumptions!G120*Assumptions!G11</f>
        <v>901468.21538001706</v>
      </c>
      <c r="G9" s="9">
        <f>Assumptions!H120*Assumptions!H11</f>
        <v>1162893.9978402222</v>
      </c>
      <c r="H9" s="9">
        <f>Assumptions!I120*Assumptions!I11</f>
        <v>1440127.9269253309</v>
      </c>
      <c r="I9" s="9">
        <f>Assumptions!J120*Assumptions!J11</f>
        <v>1733914.0240180981</v>
      </c>
      <c r="J9" s="9">
        <f>Assumptions!K120*Assumptions!K11</f>
        <v>2045027.7403276314</v>
      </c>
      <c r="K9" s="9">
        <f>Assumptions!L120*Assumptions!L11</f>
        <v>2374277.2065203805</v>
      </c>
      <c r="L9" s="9">
        <f>Assumptions!M120*Assumptions!M11</f>
        <v>2722504.5301433695</v>
      </c>
      <c r="M9" s="9">
        <f>Assumptions!N120*Assumptions!N11</f>
        <v>3090587.1426187535</v>
      </c>
      <c r="N9" s="9">
        <f>Assumptions!O120*Assumptions!O11</f>
        <v>3479439.197653695</v>
      </c>
      <c r="O9" s="9">
        <f>Assumptions!P120*Assumptions!P11</f>
        <v>3890013.0229768311</v>
      </c>
      <c r="P9" s="9">
        <f>Assumptions!Q120*Assumptions!Q11</f>
        <v>4323300.6273822496</v>
      </c>
      <c r="Q9" s="9">
        <f>Assumptions!R120*Assumptions!R11</f>
        <v>4780335.2651340868</v>
      </c>
      <c r="R9" s="9">
        <f>Assumptions!S120*Assumptions!S11</f>
        <v>5262193.0598596046</v>
      </c>
      <c r="S9" s="9">
        <f>Assumptions!T120*Assumptions!T11</f>
        <v>5769994.6901360555</v>
      </c>
      <c r="T9" s="9">
        <f>Assumptions!U120*Assumptions!U11</f>
        <v>6304907.1390569033</v>
      </c>
      <c r="U9" s="9">
        <f>Assumptions!V120*Assumptions!V11</f>
        <v>6868145.5101459865</v>
      </c>
      <c r="V9" s="9">
        <f>Assumptions!W120*Assumptions!W11</f>
        <v>7460974.9120743759</v>
      </c>
      <c r="W9" s="9">
        <f>Assumptions!X120*Assumptions!X11</f>
        <v>8084712.4147237949</v>
      </c>
      <c r="X9" s="9">
        <f>Assumptions!Y120*Assumptions!Y11</f>
        <v>8740729.0792328101</v>
      </c>
      <c r="Y9" s="9">
        <f>Assumptions!Z120*Assumptions!Z11</f>
        <v>9430452.0647577234</v>
      </c>
      <c r="Z9" s="9">
        <f>Assumptions!AA120*Assumptions!AA11</f>
        <v>10155366.814779101</v>
      </c>
      <c r="AA9" s="9">
        <f>Assumptions!AB120*Assumptions!AB11</f>
        <v>10917019.325887535</v>
      </c>
      <c r="AB9" s="9">
        <f>Assumptions!AC120*Assumptions!AC11</f>
        <v>11717018.502088573</v>
      </c>
      <c r="AC9" s="9">
        <f>Assumptions!AD120*Assumptions!AD11</f>
        <v>12557038.597776765</v>
      </c>
      <c r="AD9" s="9">
        <f>Assumptions!AE120*Assumptions!AE11</f>
        <v>13438821.752642866</v>
      </c>
      <c r="AE9" s="9">
        <f>Assumptions!AF120*Assumptions!AF11</f>
        <v>14364180.621896278</v>
      </c>
      <c r="AF9" s="9">
        <f>Assumptions!AG120*Assumptions!AG11</f>
        <v>15335001.105307195</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1816514.6782242102</v>
      </c>
      <c r="D10" s="9">
        <f>SUM($C$8:D9)</f>
        <v>3902765.3146635946</v>
      </c>
      <c r="E10" s="9">
        <f>SUM($C$8:E9)</f>
        <v>6274154.8996134233</v>
      </c>
      <c r="F10" s="9">
        <f>SUM($C$8:F9)</f>
        <v>8946796.0051266514</v>
      </c>
      <c r="G10" s="9">
        <f>SUM($C$8:G9)</f>
        <v>11937540.425584348</v>
      </c>
      <c r="H10" s="9">
        <f>SUM($C$8:H9)</f>
        <v>15264009.988650912</v>
      </c>
      <c r="I10" s="9">
        <f>SUM($C$8:I9)</f>
        <v>18944628.581166759</v>
      </c>
      <c r="J10" s="9">
        <f>SUM($C$8:J9)</f>
        <v>22998655.436184071</v>
      </c>
      <c r="K10" s="9">
        <f>SUM($C$8:K9)</f>
        <v>27446219.729064204</v>
      </c>
      <c r="L10" s="9">
        <f>SUM($C$8:L9)</f>
        <v>32308356.53233083</v>
      </c>
      <c r="M10" s="9">
        <f>SUM($C$8:M9)</f>
        <v>37607044.180812791</v>
      </c>
      <c r="N10" s="9">
        <f>SUM($C$8:N9)</f>
        <v>43365243.100517318</v>
      </c>
      <c r="O10" s="9">
        <f>SUM($C$8:O9)</f>
        <v>49606936.156650603</v>
      </c>
      <c r="P10" s="9">
        <f>SUM($C$8:P9)</f>
        <v>56357170.578250311</v>
      </c>
      <c r="Q10" s="9">
        <f>SUM($C$8:Q9)</f>
        <v>63642101.519016825</v>
      </c>
      <c r="R10" s="9">
        <f>SUM($C$8:R9)</f>
        <v>71489037.316129088</v>
      </c>
      <c r="S10" s="9">
        <f>SUM($C$8:S9)</f>
        <v>79926486.511109889</v>
      </c>
      <c r="T10" s="9">
        <f>SUM($C$8:T9)</f>
        <v>88984206.699166566</v>
      </c>
      <c r="U10" s="9">
        <f>SUM($C$8:U9)</f>
        <v>98693255.275880322</v>
      </c>
      <c r="V10" s="9">
        <f>SUM($C$8:V9)</f>
        <v>109086042.15265262</v>
      </c>
      <c r="W10" s="9">
        <f>SUM($C$8:W9)</f>
        <v>120196384.51494469</v>
      </c>
      <c r="X10" s="9">
        <f>SUM($C$8:X9)</f>
        <v>132059563.70006795</v>
      </c>
      <c r="Y10" s="9">
        <f>SUM($C$8:Y9)</f>
        <v>144712384.27410462</v>
      </c>
      <c r="Z10" s="9">
        <f>SUM($C$8:Z9)</f>
        <v>158193235.3904596</v>
      </c>
      <c r="AA10" s="9">
        <f>SUM($C$8:AA9)</f>
        <v>172542154.51557344</v>
      </c>
      <c r="AB10" s="9">
        <f>SUM($C$8:AB9)</f>
        <v>187800893.61046353</v>
      </c>
      <c r="AC10" s="9">
        <f>SUM($C$8:AC9)</f>
        <v>204012987.86001152</v>
      </c>
      <c r="AD10" s="9">
        <f>SUM($C$8:AD9)</f>
        <v>221223827.04528224</v>
      </c>
      <c r="AE10" s="9">
        <f>SUM($C$8:AE9)</f>
        <v>239480729.65765047</v>
      </c>
      <c r="AF10" s="9">
        <f>SUM($C$8:AF9)</f>
        <v>258833019.85712475</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56916514.678224213</v>
      </c>
      <c r="D12" s="9">
        <f>D7+D8+D9</f>
        <v>59002765.314663596</v>
      </c>
      <c r="E12" s="9">
        <f>E7+E8+E9</f>
        <v>61374154.899613425</v>
      </c>
      <c r="F12" s="9">
        <f t="shared" ref="F12:H12" si="26">F7+F8+F9</f>
        <v>64046796.005126655</v>
      </c>
      <c r="G12" s="9">
        <f t="shared" si="26"/>
        <v>67037540.425584354</v>
      </c>
      <c r="H12" s="9">
        <f t="shared" si="26"/>
        <v>70364009.988650918</v>
      </c>
      <c r="I12" s="9">
        <f t="shared" ref="I12:AF12" si="27">I7+I8+I9</f>
        <v>74044628.581166759</v>
      </c>
      <c r="J12" s="9">
        <f t="shared" si="27"/>
        <v>78098655.436184064</v>
      </c>
      <c r="K12" s="9">
        <f t="shared" si="27"/>
        <v>82546219.729064196</v>
      </c>
      <c r="L12" s="9">
        <f t="shared" si="27"/>
        <v>87408356.532330826</v>
      </c>
      <c r="M12" s="9">
        <f t="shared" si="27"/>
        <v>92707044.180812791</v>
      </c>
      <c r="N12" s="9">
        <f t="shared" si="27"/>
        <v>98465243.100517318</v>
      </c>
      <c r="O12" s="9">
        <f t="shared" si="27"/>
        <v>104706936.1566506</v>
      </c>
      <c r="P12" s="9">
        <f t="shared" si="27"/>
        <v>111457170.57825032</v>
      </c>
      <c r="Q12" s="9">
        <f t="shared" si="27"/>
        <v>118742101.51901682</v>
      </c>
      <c r="R12" s="9">
        <f t="shared" si="27"/>
        <v>126589037.31612907</v>
      </c>
      <c r="S12" s="9">
        <f t="shared" si="27"/>
        <v>135026486.51110986</v>
      </c>
      <c r="T12" s="9">
        <f t="shared" si="27"/>
        <v>144084206.69916654</v>
      </c>
      <c r="U12" s="9">
        <f t="shared" si="27"/>
        <v>153793255.27588031</v>
      </c>
      <c r="V12" s="9">
        <f t="shared" si="27"/>
        <v>164186042.15265262</v>
      </c>
      <c r="W12" s="9">
        <f t="shared" si="27"/>
        <v>175296384.51494467</v>
      </c>
      <c r="X12" s="9">
        <f t="shared" si="27"/>
        <v>187159563.70006794</v>
      </c>
      <c r="Y12" s="9">
        <f t="shared" si="27"/>
        <v>199812384.27410462</v>
      </c>
      <c r="Z12" s="9">
        <f t="shared" si="27"/>
        <v>213293235.3904596</v>
      </c>
      <c r="AA12" s="9">
        <f t="shared" si="27"/>
        <v>227642154.51557344</v>
      </c>
      <c r="AB12" s="9">
        <f t="shared" si="27"/>
        <v>242900893.61046356</v>
      </c>
      <c r="AC12" s="9">
        <f t="shared" si="27"/>
        <v>259112987.86001152</v>
      </c>
      <c r="AD12" s="9">
        <f t="shared" si="27"/>
        <v>276323827.04528224</v>
      </c>
      <c r="AE12" s="9">
        <f t="shared" si="27"/>
        <v>294580729.65765047</v>
      </c>
      <c r="AF12" s="9">
        <f t="shared" si="27"/>
        <v>313933019.85712475</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10360098.678224212</v>
      </c>
      <c r="D18" s="9">
        <f>Investment!D25</f>
        <v>10903229.324439386</v>
      </c>
      <c r="E18" s="9">
        <f>Investment!E25</f>
        <v>11470511.590965828</v>
      </c>
      <c r="F18" s="9">
        <f>Investment!F25</f>
        <v>12062935.015721738</v>
      </c>
      <c r="G18" s="9">
        <f>Investment!G25</f>
        <v>12681527.735792879</v>
      </c>
      <c r="H18" s="9">
        <f>Investment!H25</f>
        <v>13327357.944492474</v>
      </c>
      <c r="I18" s="9">
        <f>Investment!I25</f>
        <v>14001535.402147386</v>
      </c>
      <c r="J18" s="9">
        <f>Investment!J25</f>
        <v>14705213.00255706</v>
      </c>
      <c r="K18" s="9">
        <f>Investment!K25</f>
        <v>15439588.397141151</v>
      </c>
      <c r="L18" s="9">
        <f>Investment!L25</f>
        <v>16205905.678864002</v>
      </c>
      <c r="M18" s="9">
        <f>Investment!M25</f>
        <v>17005457.128098447</v>
      </c>
      <c r="N18" s="9">
        <f>Investment!N25</f>
        <v>17839585.022668742</v>
      </c>
      <c r="O18" s="9">
        <f>Investment!O25</f>
        <v>18709683.514392357</v>
      </c>
      <c r="P18" s="9">
        <f>Investment!P25</f>
        <v>19617200.574523073</v>
      </c>
      <c r="Q18" s="9">
        <f>Investment!Q25</f>
        <v>20563640.010583412</v>
      </c>
      <c r="R18" s="9">
        <f>Investment!R25</f>
        <v>21550563.557163313</v>
      </c>
      <c r="S18" s="9">
        <f>Investment!S25</f>
        <v>22579593.043353483</v>
      </c>
      <c r="T18" s="9">
        <f>Investment!T25</f>
        <v>23652412.639577284</v>
      </c>
      <c r="U18" s="9">
        <f>Investment!U25</f>
        <v>24770771.186683021</v>
      </c>
      <c r="V18" s="9">
        <f>Investment!V25</f>
        <v>25936484.610260595</v>
      </c>
      <c r="W18" s="9">
        <f>Investment!W25</f>
        <v>27151438.423251975</v>
      </c>
      <c r="X18" s="9">
        <f>Investment!X25</f>
        <v>28417590.320033893</v>
      </c>
      <c r="Y18" s="9">
        <f>Investment!Y25</f>
        <v>29736972.865264438</v>
      </c>
      <c r="Z18" s="9">
        <f>Investment!Z25</f>
        <v>31111696.280902028</v>
      </c>
      <c r="AA18" s="9">
        <f>Investment!AA25</f>
        <v>32543951.3349264</v>
      </c>
      <c r="AB18" s="9">
        <f>Investment!AB25</f>
        <v>34036012.335416675</v>
      </c>
      <c r="AC18" s="9">
        <f>Investment!AC25</f>
        <v>35590240.233771369</v>
      </c>
      <c r="AD18" s="9">
        <f>Investment!AD25</f>
        <v>37209085.840989299</v>
      </c>
      <c r="AE18" s="9">
        <f>Investment!AE25</f>
        <v>38895093.161069795</v>
      </c>
      <c r="AF18" s="9">
        <f>Investment!AF25</f>
        <v>40650902.845734268</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65460098.678224213</v>
      </c>
      <c r="D19" s="9">
        <f>D18+C20</f>
        <v>74546813.324439391</v>
      </c>
      <c r="E19" s="9">
        <f>E18+D20</f>
        <v>83931074.278965831</v>
      </c>
      <c r="F19" s="9">
        <f t="shared" ref="F19:AF19" si="28">F18+E20</f>
        <v>93622619.709737733</v>
      </c>
      <c r="G19" s="9">
        <f t="shared" si="28"/>
        <v>103631506.34001738</v>
      </c>
      <c r="H19" s="9">
        <f t="shared" si="28"/>
        <v>113968119.86405215</v>
      </c>
      <c r="I19" s="9">
        <f t="shared" si="28"/>
        <v>124643185.70313297</v>
      </c>
      <c r="J19" s="9">
        <f t="shared" si="28"/>
        <v>135667780.1131742</v>
      </c>
      <c r="K19" s="9">
        <f t="shared" si="28"/>
        <v>147053341.65529805</v>
      </c>
      <c r="L19" s="9">
        <f t="shared" si="28"/>
        <v>158811683.04128194</v>
      </c>
      <c r="M19" s="9">
        <f t="shared" si="28"/>
        <v>170955003.36611375</v>
      </c>
      <c r="N19" s="9">
        <f t="shared" si="28"/>
        <v>183495900.74030054</v>
      </c>
      <c r="O19" s="9">
        <f t="shared" si="28"/>
        <v>196447385.33498839</v>
      </c>
      <c r="P19" s="9">
        <f t="shared" si="28"/>
        <v>209822892.85337815</v>
      </c>
      <c r="Q19" s="9">
        <f t="shared" si="28"/>
        <v>223636298.44236183</v>
      </c>
      <c r="R19" s="9">
        <f t="shared" si="28"/>
        <v>237901931.05875862</v>
      </c>
      <c r="S19" s="9">
        <f t="shared" si="28"/>
        <v>252634588.30499983</v>
      </c>
      <c r="T19" s="9">
        <f t="shared" si="28"/>
        <v>267849551.7495963</v>
      </c>
      <c r="U19" s="9">
        <f t="shared" si="28"/>
        <v>283562602.74822265</v>
      </c>
      <c r="V19" s="9">
        <f t="shared" si="28"/>
        <v>299790038.78176951</v>
      </c>
      <c r="W19" s="9">
        <f t="shared" si="28"/>
        <v>316548690.32824916</v>
      </c>
      <c r="X19" s="9">
        <f t="shared" si="28"/>
        <v>333855938.28599095</v>
      </c>
      <c r="Y19" s="9">
        <f t="shared" si="28"/>
        <v>351729731.9661321</v>
      </c>
      <c r="Z19" s="9">
        <f t="shared" si="28"/>
        <v>370188607.67299747</v>
      </c>
      <c r="AA19" s="9">
        <f t="shared" si="28"/>
        <v>389251707.8915689</v>
      </c>
      <c r="AB19" s="9">
        <f t="shared" si="28"/>
        <v>408938801.10187173</v>
      </c>
      <c r="AC19" s="9">
        <f t="shared" si="28"/>
        <v>429270302.240753</v>
      </c>
      <c r="AD19" s="9">
        <f t="shared" si="28"/>
        <v>450267293.83219433</v>
      </c>
      <c r="AE19" s="9">
        <f t="shared" si="28"/>
        <v>471951547.80799341</v>
      </c>
      <c r="AF19" s="9">
        <f t="shared" si="28"/>
        <v>494345548.04135942</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63643584</v>
      </c>
      <c r="D20" s="9">
        <f>D19-D8-D9</f>
        <v>72460562.688000008</v>
      </c>
      <c r="E20" s="9">
        <f t="shared" ref="E20:AF20" si="29">E19-E8-E9</f>
        <v>81559684.694015995</v>
      </c>
      <c r="F20" s="9">
        <f t="shared" si="29"/>
        <v>90949978.604224503</v>
      </c>
      <c r="G20" s="9">
        <f t="shared" si="29"/>
        <v>100640761.91955967</v>
      </c>
      <c r="H20" s="9">
        <f t="shared" si="29"/>
        <v>110641650.30098559</v>
      </c>
      <c r="I20" s="9">
        <f t="shared" si="29"/>
        <v>120962567.11061713</v>
      </c>
      <c r="J20" s="9">
        <f t="shared" si="29"/>
        <v>131613753.2581569</v>
      </c>
      <c r="K20" s="9">
        <f t="shared" si="29"/>
        <v>142605777.36241794</v>
      </c>
      <c r="L20" s="9">
        <f t="shared" si="29"/>
        <v>153949546.23801529</v>
      </c>
      <c r="M20" s="9">
        <f t="shared" si="29"/>
        <v>165656315.71763179</v>
      </c>
      <c r="N20" s="9">
        <f t="shared" si="29"/>
        <v>177737701.82059604</v>
      </c>
      <c r="O20" s="9">
        <f t="shared" si="29"/>
        <v>190205692.27885509</v>
      </c>
      <c r="P20" s="9">
        <f t="shared" si="29"/>
        <v>203072658.43177843</v>
      </c>
      <c r="Q20" s="9">
        <f t="shared" si="29"/>
        <v>216351367.50159532</v>
      </c>
      <c r="R20" s="9">
        <f t="shared" si="29"/>
        <v>230054995.26164636</v>
      </c>
      <c r="S20" s="9">
        <f t="shared" si="29"/>
        <v>244197139.11001903</v>
      </c>
      <c r="T20" s="9">
        <f t="shared" si="29"/>
        <v>258791831.56153962</v>
      </c>
      <c r="U20" s="9">
        <f t="shared" si="29"/>
        <v>273853554.17150891</v>
      </c>
      <c r="V20" s="9">
        <f t="shared" si="29"/>
        <v>289397251.90499717</v>
      </c>
      <c r="W20" s="9">
        <f t="shared" si="29"/>
        <v>305438347.96595705</v>
      </c>
      <c r="X20" s="9">
        <f t="shared" si="29"/>
        <v>321992759.10086769</v>
      </c>
      <c r="Y20" s="9">
        <f t="shared" si="29"/>
        <v>339076911.39209545</v>
      </c>
      <c r="Z20" s="9">
        <f t="shared" si="29"/>
        <v>356707756.55664247</v>
      </c>
      <c r="AA20" s="9">
        <f t="shared" si="29"/>
        <v>374902788.76645505</v>
      </c>
      <c r="AB20" s="9">
        <f t="shared" si="29"/>
        <v>393680062.00698161</v>
      </c>
      <c r="AC20" s="9">
        <f t="shared" si="29"/>
        <v>413058207.99120504</v>
      </c>
      <c r="AD20" s="9">
        <f t="shared" si="29"/>
        <v>433056454.6469236</v>
      </c>
      <c r="AE20" s="9">
        <f t="shared" si="29"/>
        <v>453694645.19562519</v>
      </c>
      <c r="AF20" s="9">
        <f t="shared" si="29"/>
        <v>474993257.84188515</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289000</v>
      </c>
      <c r="D22" s="9">
        <f ca="1">'Balance Sheet'!C11</f>
        <v>6554992.5135802608</v>
      </c>
      <c r="E22" s="9">
        <f ca="1">'Balance Sheet'!D11</f>
        <v>12893240.384921625</v>
      </c>
      <c r="F22" s="9">
        <f ca="1">'Balance Sheet'!E11</f>
        <v>19166302.064387295</v>
      </c>
      <c r="G22" s="9">
        <f ca="1">'Balance Sheet'!F11</f>
        <v>25202601.872362763</v>
      </c>
      <c r="H22" s="9">
        <f ca="1">'Balance Sheet'!G11</f>
        <v>30790005.357967664</v>
      </c>
      <c r="I22" s="9">
        <f ca="1">'Balance Sheet'!H11</f>
        <v>35668267.445836574</v>
      </c>
      <c r="J22" s="9">
        <f ca="1">'Balance Sheet'!I11</f>
        <v>40207882.573682159</v>
      </c>
      <c r="K22" s="9">
        <f ca="1">'Balance Sheet'!J11</f>
        <v>44557411.538729183</v>
      </c>
      <c r="L22" s="9">
        <f ca="1">'Balance Sheet'!K11</f>
        <v>48608830.415651113</v>
      </c>
      <c r="M22" s="9">
        <f ca="1">'Balance Sheet'!L11</f>
        <v>52237083.990867168</v>
      </c>
      <c r="N22" s="9">
        <f ca="1">'Balance Sheet'!M11</f>
        <v>55298042.206808932</v>
      </c>
      <c r="O22" s="9">
        <f ca="1">'Balance Sheet'!N11</f>
        <v>58302130.903475106</v>
      </c>
      <c r="P22" s="9">
        <f ca="1">'Balance Sheet'!O11</f>
        <v>61439533.490178719</v>
      </c>
      <c r="Q22" s="9">
        <f ca="1">'Balance Sheet'!P11</f>
        <v>64692161.385656424</v>
      </c>
      <c r="R22" s="9">
        <f ca="1">'Balance Sheet'!Q11</f>
        <v>68038663.539581537</v>
      </c>
      <c r="S22" s="9">
        <f ca="1">'Balance Sheet'!R11</f>
        <v>71454103.666561425</v>
      </c>
      <c r="T22" s="9">
        <f ca="1">'Balance Sheet'!S11</f>
        <v>74909611.827212304</v>
      </c>
      <c r="U22" s="9">
        <f ca="1">'Balance Sheet'!T11</f>
        <v>78372008.535336435</v>
      </c>
      <c r="V22" s="9">
        <f ca="1">'Balance Sheet'!U11</f>
        <v>81973237.271153718</v>
      </c>
      <c r="W22" s="9">
        <f ca="1">'Balance Sheet'!V11</f>
        <v>85874560.231026113</v>
      </c>
      <c r="X22" s="9">
        <f ca="1">'Balance Sheet'!W11</f>
        <v>90080035.290054187</v>
      </c>
      <c r="Y22" s="9">
        <f ca="1">'Balance Sheet'!X11</f>
        <v>94592664.171700895</v>
      </c>
      <c r="Z22" s="9">
        <f ca="1">'Balance Sheet'!Y11</f>
        <v>99414259.190084696</v>
      </c>
      <c r="AA22" s="9">
        <f ca="1">'Balance Sheet'!Z11</f>
        <v>104545299.16151211</v>
      </c>
      <c r="AB22" s="9">
        <f ca="1">'Balance Sheet'!AA11</f>
        <v>109984773.75039527</v>
      </c>
      <c r="AC22" s="9">
        <f ca="1">'Balance Sheet'!AB11</f>
        <v>115730015.46960115</v>
      </c>
      <c r="AD22" s="9">
        <f ca="1">'Balance Sheet'!AC11</f>
        <v>122176203.43231201</v>
      </c>
      <c r="AE22" s="9">
        <f ca="1">'Balance Sheet'!AD11</f>
        <v>129367028.51726291</v>
      </c>
      <c r="AF22" s="9">
        <f ca="1">'Balance Sheet'!AE11</f>
        <v>137348162.39594957</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63354584</v>
      </c>
      <c r="D23" s="9">
        <f t="shared" ref="D23:AF23" ca="1" si="30">D20-D22</f>
        <v>65905570.174419746</v>
      </c>
      <c r="E23" s="9">
        <f t="shared" ca="1" si="30"/>
        <v>68666444.309094369</v>
      </c>
      <c r="F23" s="9">
        <f t="shared" ca="1" si="30"/>
        <v>71783676.539837211</v>
      </c>
      <c r="G23" s="9">
        <f t="shared" ca="1" si="30"/>
        <v>75438160.04719691</v>
      </c>
      <c r="H23" s="9">
        <f t="shared" ca="1" si="30"/>
        <v>79851644.94301793</v>
      </c>
      <c r="I23" s="9">
        <f t="shared" ca="1" si="30"/>
        <v>85294299.664780557</v>
      </c>
      <c r="J23" s="9">
        <f ca="1">J20-J22</f>
        <v>91405870.684474736</v>
      </c>
      <c r="K23" s="9">
        <f t="shared" ca="1" si="30"/>
        <v>98048365.823688745</v>
      </c>
      <c r="L23" s="9">
        <f t="shared" ca="1" si="30"/>
        <v>105340715.82236418</v>
      </c>
      <c r="M23" s="9">
        <f t="shared" ca="1" si="30"/>
        <v>113419231.72676462</v>
      </c>
      <c r="N23" s="9">
        <f t="shared" ca="1" si="30"/>
        <v>122439659.61378711</v>
      </c>
      <c r="O23" s="9">
        <f t="shared" ca="1" si="30"/>
        <v>131903561.37537998</v>
      </c>
      <c r="P23" s="9">
        <f t="shared" ca="1" si="30"/>
        <v>141633124.94159973</v>
      </c>
      <c r="Q23" s="9">
        <f t="shared" ca="1" si="30"/>
        <v>151659206.1159389</v>
      </c>
      <c r="R23" s="9">
        <f t="shared" ca="1" si="30"/>
        <v>162016331.72206482</v>
      </c>
      <c r="S23" s="9">
        <f t="shared" ca="1" si="30"/>
        <v>172743035.4434576</v>
      </c>
      <c r="T23" s="9">
        <f t="shared" ca="1" si="30"/>
        <v>183882219.73432732</v>
      </c>
      <c r="U23" s="9">
        <f t="shared" ca="1" si="30"/>
        <v>195481545.63617247</v>
      </c>
      <c r="V23" s="9">
        <f t="shared" ca="1" si="30"/>
        <v>207424014.63384345</v>
      </c>
      <c r="W23" s="9">
        <f t="shared" ca="1" si="30"/>
        <v>219563787.73493093</v>
      </c>
      <c r="X23" s="9">
        <f t="shared" ca="1" si="30"/>
        <v>231912723.81081349</v>
      </c>
      <c r="Y23" s="9">
        <f t="shared" ca="1" si="30"/>
        <v>244484247.22039455</v>
      </c>
      <c r="Z23" s="9">
        <f t="shared" ca="1" si="30"/>
        <v>257293497.36655778</v>
      </c>
      <c r="AA23" s="9">
        <f t="shared" ca="1" si="30"/>
        <v>270357489.60494292</v>
      </c>
      <c r="AB23" s="9">
        <f t="shared" ca="1" si="30"/>
        <v>283695288.25658631</v>
      </c>
      <c r="AC23" s="9">
        <f t="shared" ca="1" si="30"/>
        <v>297328192.52160388</v>
      </c>
      <c r="AD23" s="9">
        <f t="shared" ca="1" si="30"/>
        <v>310880251.21461159</v>
      </c>
      <c r="AE23" s="9">
        <f t="shared" ca="1" si="30"/>
        <v>324327616.67836225</v>
      </c>
      <c r="AF23" s="9">
        <f t="shared" ca="1" si="30"/>
        <v>337645095.44593561</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145" zoomScaleNormal="145"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289000</v>
      </c>
      <c r="D5" s="1">
        <f ca="1">C5+C6</f>
        <v>6554992.5135802608</v>
      </c>
      <c r="E5" s="1">
        <f t="shared" ref="E5:AF5" ca="1" si="1">D5+D6</f>
        <v>12893240.384921625</v>
      </c>
      <c r="F5" s="1">
        <f t="shared" ca="1" si="1"/>
        <v>19166302.064387295</v>
      </c>
      <c r="G5" s="1">
        <f t="shared" ca="1" si="1"/>
        <v>25202601.872362763</v>
      </c>
      <c r="H5" s="1">
        <f t="shared" ca="1" si="1"/>
        <v>30790005.357967664</v>
      </c>
      <c r="I5" s="1">
        <f t="shared" ca="1" si="1"/>
        <v>35668267.445836574</v>
      </c>
      <c r="J5" s="1">
        <f t="shared" ca="1" si="1"/>
        <v>40207882.573682159</v>
      </c>
      <c r="K5" s="1">
        <f t="shared" ca="1" si="1"/>
        <v>44557411.538729183</v>
      </c>
      <c r="L5" s="1">
        <f t="shared" ca="1" si="1"/>
        <v>48608830.415651113</v>
      </c>
      <c r="M5" s="1">
        <f t="shared" ca="1" si="1"/>
        <v>52237083.990867168</v>
      </c>
      <c r="N5" s="1">
        <f t="shared" ca="1" si="1"/>
        <v>55298042.206808932</v>
      </c>
      <c r="O5" s="1">
        <f t="shared" ca="1" si="1"/>
        <v>58302130.903475106</v>
      </c>
      <c r="P5" s="1">
        <f t="shared" ca="1" si="1"/>
        <v>61439533.490178719</v>
      </c>
      <c r="Q5" s="1">
        <f t="shared" ca="1" si="1"/>
        <v>64692161.385656424</v>
      </c>
      <c r="R5" s="1">
        <f t="shared" ca="1" si="1"/>
        <v>68038663.539581537</v>
      </c>
      <c r="S5" s="1">
        <f t="shared" ca="1" si="1"/>
        <v>71454103.666561425</v>
      </c>
      <c r="T5" s="1">
        <f t="shared" ca="1" si="1"/>
        <v>74909611.827212304</v>
      </c>
      <c r="U5" s="1">
        <f t="shared" ca="1" si="1"/>
        <v>78372008.535336435</v>
      </c>
      <c r="V5" s="1">
        <f t="shared" ca="1" si="1"/>
        <v>81973237.271153718</v>
      </c>
      <c r="W5" s="1">
        <f t="shared" ca="1" si="1"/>
        <v>85874560.231026113</v>
      </c>
      <c r="X5" s="1">
        <f t="shared" ca="1" si="1"/>
        <v>90080035.290054187</v>
      </c>
      <c r="Y5" s="1">
        <f t="shared" ca="1" si="1"/>
        <v>94592664.171700895</v>
      </c>
      <c r="Z5" s="1">
        <f t="shared" ca="1" si="1"/>
        <v>99414259.190084696</v>
      </c>
      <c r="AA5" s="1">
        <f t="shared" ca="1" si="1"/>
        <v>104545299.16151211</v>
      </c>
      <c r="AB5" s="1">
        <f t="shared" ca="1" si="1"/>
        <v>109984773.75039527</v>
      </c>
      <c r="AC5" s="1">
        <f t="shared" ca="1" si="1"/>
        <v>115730015.46960115</v>
      </c>
      <c r="AD5" s="1">
        <f t="shared" ca="1" si="1"/>
        <v>122176203.43231201</v>
      </c>
      <c r="AE5" s="1">
        <f t="shared" ca="1" si="1"/>
        <v>129367028.51726291</v>
      </c>
      <c r="AF5" s="1">
        <f t="shared" ca="1" si="1"/>
        <v>137348162.39594957</v>
      </c>
      <c r="AG5" s="1"/>
      <c r="AH5" s="1"/>
      <c r="AI5" s="1"/>
      <c r="AJ5" s="1"/>
      <c r="AK5" s="1"/>
      <c r="AL5" s="1"/>
      <c r="AM5" s="1"/>
      <c r="AN5" s="1"/>
      <c r="AO5" s="1"/>
      <c r="AP5" s="1"/>
    </row>
    <row r="6" spans="1:42" x14ac:dyDescent="0.35">
      <c r="A6" s="63" t="s">
        <v>3</v>
      </c>
      <c r="C6" s="1">
        <f ca="1">-'Cash Flow'!C13</f>
        <v>6265992.5135802608</v>
      </c>
      <c r="D6" s="1">
        <f ca="1">-'Cash Flow'!D13</f>
        <v>6338247.8713413645</v>
      </c>
      <c r="E6" s="1">
        <f ca="1">-'Cash Flow'!E13</f>
        <v>6273061.6794656701</v>
      </c>
      <c r="F6" s="1">
        <f ca="1">-'Cash Flow'!F13</f>
        <v>6036299.8079754673</v>
      </c>
      <c r="G6" s="1">
        <f ca="1">-'Cash Flow'!G13</f>
        <v>5587403.4856049018</v>
      </c>
      <c r="H6" s="1">
        <f ca="1">-'Cash Flow'!H13</f>
        <v>4878262.0878689084</v>
      </c>
      <c r="I6" s="1">
        <f ca="1">-'Cash Flow'!I13</f>
        <v>4539615.1278455816</v>
      </c>
      <c r="J6" s="1">
        <f ca="1">-'Cash Flow'!J13</f>
        <v>4349528.9650470261</v>
      </c>
      <c r="K6" s="1">
        <f ca="1">-'Cash Flow'!K13</f>
        <v>4051418.8769219331</v>
      </c>
      <c r="L6" s="1">
        <f ca="1">-'Cash Flow'!L13</f>
        <v>3628253.5752160568</v>
      </c>
      <c r="M6" s="1">
        <f ca="1">-'Cash Flow'!M13</f>
        <v>3060958.2159417644</v>
      </c>
      <c r="N6" s="1">
        <f ca="1">-'Cash Flow'!N13</f>
        <v>3004088.6966661774</v>
      </c>
      <c r="O6" s="1">
        <f ca="1">-'Cash Flow'!O13</f>
        <v>3137402.5867036171</v>
      </c>
      <c r="P6" s="1">
        <f ca="1">-'Cash Flow'!P13</f>
        <v>3252627.8954777028</v>
      </c>
      <c r="Q6" s="1">
        <f ca="1">-'Cash Flow'!Q13</f>
        <v>3346502.1539251134</v>
      </c>
      <c r="R6" s="1">
        <f ca="1">-'Cash Flow'!R13</f>
        <v>3415440.1269798838</v>
      </c>
      <c r="S6" s="1">
        <f ca="1">-'Cash Flow'!S13</f>
        <v>3455508.1606508791</v>
      </c>
      <c r="T6" s="1">
        <f ca="1">-'Cash Flow'!T13</f>
        <v>3462396.7081241384</v>
      </c>
      <c r="U6" s="1">
        <f ca="1">-'Cash Flow'!U13</f>
        <v>3601228.7358172908</v>
      </c>
      <c r="V6" s="1">
        <f ca="1">-'Cash Flow'!V13</f>
        <v>3901322.9598723985</v>
      </c>
      <c r="W6" s="1">
        <f ca="1">-'Cash Flow'!W13</f>
        <v>4205475.0590280779</v>
      </c>
      <c r="X6" s="1">
        <f ca="1">-'Cash Flow'!X13</f>
        <v>4512628.8816467114</v>
      </c>
      <c r="Y6" s="1">
        <f ca="1">-'Cash Flow'!Y13</f>
        <v>4821595.0183838084</v>
      </c>
      <c r="Z6" s="1">
        <f ca="1">-'Cash Flow'!Z13</f>
        <v>5131039.9714274183</v>
      </c>
      <c r="AA6" s="1">
        <f ca="1">-'Cash Flow'!AA13</f>
        <v>5439474.5888831653</v>
      </c>
      <c r="AB6" s="1">
        <f ca="1">-'Cash Flow'!AB13</f>
        <v>5745241.7192058861</v>
      </c>
      <c r="AC6" s="1">
        <f ca="1">-'Cash Flow'!AC13</f>
        <v>6446187.9627108574</v>
      </c>
      <c r="AD6" s="1">
        <f ca="1">-'Cash Flow'!AD13</f>
        <v>7190825.0849508904</v>
      </c>
      <c r="AE6" s="1">
        <f ca="1">-'Cash Flow'!AE13</f>
        <v>7981133.8786866777</v>
      </c>
      <c r="AF6" s="1">
        <f ca="1">-'Cash Flow'!AF13</f>
        <v>8819166.1823068485</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229424.73797530914</v>
      </c>
      <c r="D8" s="1">
        <f ca="1">IF(SUM(D5:D6)&gt;0,Assumptions!$C$26*SUM(D5:D6),Assumptions!$C$27*(SUM(D5:D6)))</f>
        <v>451263.41347225691</v>
      </c>
      <c r="E8" s="1">
        <f ca="1">IF(SUM(E5:E6)&gt;0,Assumptions!$C$26*SUM(E5:E6),Assumptions!$C$27*(SUM(E5:E6)))</f>
        <v>670820.57225355541</v>
      </c>
      <c r="F8" s="1">
        <f ca="1">IF(SUM(F5:F6)&gt;0,Assumptions!$C$26*SUM(F5:F6),Assumptions!$C$27*(SUM(F5:F6)))</f>
        <v>882091.06553269678</v>
      </c>
      <c r="G8" s="1">
        <f ca="1">IF(SUM(G5:G6)&gt;0,Assumptions!$C$26*SUM(G5:G6),Assumptions!$C$27*(SUM(G5:G6)))</f>
        <v>1077650.1875288684</v>
      </c>
      <c r="H8" s="1">
        <f ca="1">IF(SUM(H5:H6)&gt;0,Assumptions!$C$26*SUM(H5:H6),Assumptions!$C$27*(SUM(H5:H6)))</f>
        <v>1248389.3606042801</v>
      </c>
      <c r="I8" s="1">
        <f ca="1">IF(SUM(I5:I6)&gt;0,Assumptions!$C$26*SUM(I5:I6),Assumptions!$C$27*(SUM(I5:I6)))</f>
        <v>1407275.8900788757</v>
      </c>
      <c r="J8" s="1">
        <f ca="1">IF(SUM(J5:J6)&gt;0,Assumptions!$C$26*SUM(J5:J6),Assumptions!$C$27*(SUM(J5:J6)))</f>
        <v>1559509.4038555215</v>
      </c>
      <c r="K8" s="1">
        <f ca="1">IF(SUM(K5:K6)&gt;0,Assumptions!$C$26*SUM(K5:K6),Assumptions!$C$27*(SUM(K5:K6)))</f>
        <v>1701309.0645477891</v>
      </c>
      <c r="L8" s="1">
        <f ca="1">IF(SUM(L5:L6)&gt;0,Assumptions!$C$26*SUM(L5:L6),Assumptions!$C$27*(SUM(L5:L6)))</f>
        <v>1828297.9396803509</v>
      </c>
      <c r="M8" s="1">
        <f ca="1">IF(SUM(M5:M6)&gt;0,Assumptions!$C$26*SUM(M5:M6),Assumptions!$C$27*(SUM(M5:M6)))</f>
        <v>1935431.4772383128</v>
      </c>
      <c r="N8" s="1">
        <f ca="1">IF(SUM(N5:N6)&gt;0,Assumptions!$C$26*SUM(N5:N6),Assumptions!$C$27*(SUM(N5:N6)))</f>
        <v>2040574.581621629</v>
      </c>
      <c r="O8" s="1">
        <f ca="1">IF(SUM(O5:O6)&gt;0,Assumptions!$C$26*SUM(O5:O6),Assumptions!$C$27*(SUM(O5:O6)))</f>
        <v>2150383.6721562552</v>
      </c>
      <c r="P8" s="1">
        <f ca="1">IF(SUM(P5:P6)&gt;0,Assumptions!$C$26*SUM(P5:P6),Assumptions!$C$27*(SUM(P5:P6)))</f>
        <v>2264225.648497975</v>
      </c>
      <c r="Q8" s="1">
        <f ca="1">IF(SUM(Q5:Q6)&gt;0,Assumptions!$C$26*SUM(Q5:Q6),Assumptions!$C$27*(SUM(Q5:Q6)))</f>
        <v>2381353.2238853541</v>
      </c>
      <c r="R8" s="1">
        <f ca="1">IF(SUM(R5:R6)&gt;0,Assumptions!$C$26*SUM(R5:R6),Assumptions!$C$27*(SUM(R5:R6)))</f>
        <v>2500893.62832965</v>
      </c>
      <c r="S8" s="1">
        <f ca="1">IF(SUM(S5:S6)&gt;0,Assumptions!$C$26*SUM(S5:S6),Assumptions!$C$27*(SUM(S5:S6)))</f>
        <v>2621836.4139524307</v>
      </c>
      <c r="T8" s="1">
        <f ca="1">IF(SUM(T5:T6)&gt;0,Assumptions!$C$26*SUM(T5:T6),Assumptions!$C$27*(SUM(T5:T6)))</f>
        <v>2743020.2987367753</v>
      </c>
      <c r="U8" s="1">
        <f ca="1">IF(SUM(U5:U6)&gt;0,Assumptions!$C$26*SUM(U5:U6),Assumptions!$C$27*(SUM(U5:U6)))</f>
        <v>2869063.3044903805</v>
      </c>
      <c r="V8" s="1">
        <f ca="1">IF(SUM(V5:V6)&gt;0,Assumptions!$C$26*SUM(V5:V6),Assumptions!$C$27*(SUM(V5:V6)))</f>
        <v>3005609.608085914</v>
      </c>
      <c r="W8" s="1">
        <f ca="1">IF(SUM(W5:W6)&gt;0,Assumptions!$C$26*SUM(W5:W6),Assumptions!$C$27*(SUM(W5:W6)))</f>
        <v>3152801.2351518967</v>
      </c>
      <c r="X8" s="1">
        <f ca="1">IF(SUM(X5:X6)&gt;0,Assumptions!$C$26*SUM(X5:X6),Assumptions!$C$27*(SUM(X5:X6)))</f>
        <v>3310743.2460095314</v>
      </c>
      <c r="Y8" s="1">
        <f ca="1">IF(SUM(Y5:Y6)&gt;0,Assumptions!$C$26*SUM(Y5:Y6),Assumptions!$C$27*(SUM(Y5:Y6)))</f>
        <v>3479499.0716529647</v>
      </c>
      <c r="Z8" s="1">
        <f ca="1">IF(SUM(Z5:Z6)&gt;0,Assumptions!$C$26*SUM(Z5:Z6),Assumptions!$C$27*(SUM(Z5:Z6)))</f>
        <v>3659085.4706529239</v>
      </c>
      <c r="AA8" s="1">
        <f ca="1">IF(SUM(AA5:AA6)&gt;0,Assumptions!$C$26*SUM(AA5:AA6),Assumptions!$C$27*(SUM(AA5:AA6)))</f>
        <v>3849467.0812638346</v>
      </c>
      <c r="AB8" s="1">
        <f ca="1">IF(SUM(AB5:AB6)&gt;0,Assumptions!$C$26*SUM(AB5:AB6),Assumptions!$C$27*(SUM(AB5:AB6)))</f>
        <v>4050550.5414360408</v>
      </c>
      <c r="AC8" s="1">
        <f ca="1">IF(SUM(AC5:AC6)&gt;0,Assumptions!$C$26*SUM(AC5:AC6),Assumptions!$C$27*(SUM(AC5:AC6)))</f>
        <v>4276167.1201309208</v>
      </c>
      <c r="AD8" s="1">
        <f ca="1">IF(SUM(AD5:AD6)&gt;0,Assumptions!$C$26*SUM(AD5:AD6),Assumptions!$C$27*(SUM(AD5:AD6)))</f>
        <v>4527845.9981042026</v>
      </c>
      <c r="AE8" s="1">
        <f ca="1">IF(SUM(AE5:AE6)&gt;0,Assumptions!$C$26*SUM(AE5:AE6),Assumptions!$C$27*(SUM(AE5:AE6)))</f>
        <v>4807185.6838582354</v>
      </c>
      <c r="AF8" s="1">
        <f ca="1">IF(SUM(AF5:AF6)&gt;0,Assumptions!$C$26*SUM(AF5:AF6),Assumptions!$C$27*(SUM(AF5:AF6)))</f>
        <v>5115856.5002389755</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70" zoomScaleNormal="70" workbookViewId="0">
      <selection sqref="A1:XFD1048576"/>
    </sheetView>
  </sheetViews>
  <sheetFormatPr defaultRowHeight="15.5" x14ac:dyDescent="0.35"/>
  <cols>
    <col min="1" max="1" width="107.9140625" style="63" customWidth="1"/>
    <col min="2" max="2" width="18.1640625" style="180" bestFit="1" customWidth="1"/>
    <col min="3" max="3" width="64.1640625" style="179" bestFit="1"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181"/>
    </row>
    <row r="6" spans="1:3" ht="18.5" x14ac:dyDescent="0.45">
      <c r="A6" s="90"/>
      <c r="B6" s="181"/>
    </row>
    <row r="7" spans="1:3" ht="18.5" x14ac:dyDescent="0.45">
      <c r="A7" s="90" t="s">
        <v>96</v>
      </c>
      <c r="B7" s="182">
        <f>Assumptions!C24</f>
        <v>4846000</v>
      </c>
      <c r="C7" s="179" t="s">
        <v>136</v>
      </c>
    </row>
    <row r="8" spans="1:3" ht="18.5" x14ac:dyDescent="0.45">
      <c r="A8" s="90" t="s">
        <v>174</v>
      </c>
      <c r="B8" s="183">
        <f>Assumptions!$C$133</f>
        <v>0.7</v>
      </c>
      <c r="C8" s="179" t="s">
        <v>198</v>
      </c>
    </row>
    <row r="9" spans="1:3" ht="18.5" x14ac:dyDescent="0.45">
      <c r="A9" s="90"/>
      <c r="B9" s="184"/>
    </row>
    <row r="10" spans="1:3" ht="47.5" x14ac:dyDescent="0.45">
      <c r="A10" s="94" t="s">
        <v>102</v>
      </c>
      <c r="B10" s="185">
        <f>Assumptions!C135</f>
        <v>1314.0740740740739</v>
      </c>
      <c r="C10" s="179" t="s">
        <v>199</v>
      </c>
    </row>
    <row r="11" spans="1:3" ht="18.5" x14ac:dyDescent="0.45">
      <c r="A11" s="94"/>
      <c r="B11" s="186"/>
    </row>
    <row r="12" spans="1:3" ht="18.5" x14ac:dyDescent="0.45">
      <c r="A12" s="94" t="s">
        <v>184</v>
      </c>
      <c r="B12" s="182">
        <f>(B7*B8)/B10</f>
        <v>2581.4374295377679</v>
      </c>
    </row>
    <row r="13" spans="1:3" ht="18.5" x14ac:dyDescent="0.45">
      <c r="A13" s="96"/>
      <c r="B13" s="187"/>
    </row>
    <row r="14" spans="1:3" ht="18.5" x14ac:dyDescent="0.45">
      <c r="A14" s="94" t="s">
        <v>103</v>
      </c>
      <c r="B14" s="103">
        <v>1</v>
      </c>
    </row>
    <row r="15" spans="1:3" ht="18.5" x14ac:dyDescent="0.45">
      <c r="A15" s="96"/>
      <c r="B15" s="99"/>
    </row>
    <row r="16" spans="1:3" ht="18.5" x14ac:dyDescent="0.45">
      <c r="A16" s="96" t="s">
        <v>179</v>
      </c>
      <c r="B16" s="188">
        <f>B12/B14</f>
        <v>2581.4374295377679</v>
      </c>
    </row>
    <row r="17" spans="1:3" ht="18.5" x14ac:dyDescent="0.45">
      <c r="A17" s="94"/>
      <c r="B17" s="189"/>
    </row>
    <row r="18" spans="1:3" ht="18.5" x14ac:dyDescent="0.45">
      <c r="A18" s="102" t="s">
        <v>178</v>
      </c>
      <c r="B18" s="189"/>
    </row>
    <row r="19" spans="1:3" ht="18.5" x14ac:dyDescent="0.45">
      <c r="A19" s="94"/>
      <c r="B19" s="189"/>
    </row>
    <row r="20" spans="1:3" ht="32" x14ac:dyDescent="0.45">
      <c r="A20" s="94" t="s">
        <v>65</v>
      </c>
      <c r="B20" s="182">
        <f>'Profit and Loss'!L5</f>
        <v>19416496.682829801</v>
      </c>
      <c r="C20" s="179" t="s">
        <v>200</v>
      </c>
    </row>
    <row r="21" spans="1:3" ht="18.5" x14ac:dyDescent="0.45">
      <c r="A21" s="94" t="str">
        <f>A8</f>
        <v>Assumed revenue from households</v>
      </c>
      <c r="B21" s="183">
        <f>B8</f>
        <v>0.7</v>
      </c>
      <c r="C21" s="179" t="s">
        <v>198</v>
      </c>
    </row>
    <row r="22" spans="1:3" ht="18.5" x14ac:dyDescent="0.45">
      <c r="A22" s="94"/>
      <c r="B22" s="186"/>
    </row>
    <row r="23" spans="1:3" ht="18.5" x14ac:dyDescent="0.45">
      <c r="A23" s="94" t="s">
        <v>101</v>
      </c>
      <c r="B23" s="185">
        <f>Assumptions!M135</f>
        <v>1574.2471316884969</v>
      </c>
      <c r="C23" s="179" t="s">
        <v>201</v>
      </c>
    </row>
    <row r="24" spans="1:3" ht="18.5" x14ac:dyDescent="0.45">
      <c r="A24" s="94"/>
      <c r="B24" s="186"/>
    </row>
    <row r="25" spans="1:3" ht="18.5" x14ac:dyDescent="0.45">
      <c r="A25" s="94" t="s">
        <v>183</v>
      </c>
      <c r="B25" s="182">
        <f>(B20*B21)/B23</f>
        <v>8633.681081192708</v>
      </c>
    </row>
    <row r="26" spans="1:3" ht="18.5" x14ac:dyDescent="0.45">
      <c r="A26" s="94"/>
      <c r="B26" s="182"/>
    </row>
    <row r="27" spans="1:3" ht="32" x14ac:dyDescent="0.45">
      <c r="A27" s="94" t="s">
        <v>103</v>
      </c>
      <c r="B27" s="103">
        <f>1.022^11</f>
        <v>1.2704566586717592</v>
      </c>
      <c r="C27" s="179" t="s">
        <v>202</v>
      </c>
    </row>
    <row r="28" spans="1:3" ht="18.5" x14ac:dyDescent="0.45">
      <c r="A28" s="96"/>
      <c r="B28" s="187"/>
    </row>
    <row r="29" spans="1:3" ht="18.5" x14ac:dyDescent="0.45">
      <c r="A29" s="96" t="s">
        <v>180</v>
      </c>
      <c r="B29" s="182">
        <f>B25/B27</f>
        <v>6795.7305133250866</v>
      </c>
    </row>
    <row r="30" spans="1:3" ht="18.5" x14ac:dyDescent="0.45">
      <c r="A30" s="96"/>
      <c r="B30" s="187"/>
    </row>
    <row r="31" spans="1:3" ht="18.5" x14ac:dyDescent="0.45">
      <c r="A31" s="102" t="s">
        <v>186</v>
      </c>
      <c r="B31" s="190"/>
    </row>
    <row r="32" spans="1:3" ht="18.5" x14ac:dyDescent="0.45">
      <c r="A32" s="94"/>
      <c r="B32" s="182"/>
    </row>
    <row r="33" spans="1:3" ht="32" x14ac:dyDescent="0.45">
      <c r="A33" s="94" t="s">
        <v>66</v>
      </c>
      <c r="B33" s="182">
        <f>'Profit and Loss'!AF5</f>
        <v>55525770.861501947</v>
      </c>
      <c r="C33" s="179" t="s">
        <v>200</v>
      </c>
    </row>
    <row r="34" spans="1:3" ht="18.5" x14ac:dyDescent="0.45">
      <c r="A34" s="94" t="str">
        <f>A21</f>
        <v>Assumed revenue from households</v>
      </c>
      <c r="B34" s="183">
        <f>B21</f>
        <v>0.7</v>
      </c>
      <c r="C34" s="179" t="s">
        <v>198</v>
      </c>
    </row>
    <row r="35" spans="1:3" ht="18.5" x14ac:dyDescent="0.45">
      <c r="A35" s="94"/>
      <c r="B35" s="186"/>
    </row>
    <row r="36" spans="1:3" ht="18.5" x14ac:dyDescent="0.45">
      <c r="A36" s="94" t="s">
        <v>100</v>
      </c>
      <c r="B36" s="185">
        <f>Assumptions!AG135</f>
        <v>2259.3267173619643</v>
      </c>
      <c r="C36" s="179" t="s">
        <v>201</v>
      </c>
    </row>
    <row r="37" spans="1:3" ht="18.5" x14ac:dyDescent="0.45">
      <c r="A37" s="94"/>
      <c r="B37" s="186"/>
    </row>
    <row r="38" spans="1:3" ht="18.5" x14ac:dyDescent="0.45">
      <c r="A38" s="94" t="s">
        <v>182</v>
      </c>
      <c r="B38" s="182">
        <f>(B33*B34)/B36</f>
        <v>17203.372714697267</v>
      </c>
    </row>
    <row r="39" spans="1:3" ht="18.5" x14ac:dyDescent="0.45">
      <c r="A39" s="94"/>
      <c r="B39" s="186"/>
    </row>
    <row r="40" spans="1:3" ht="32" x14ac:dyDescent="0.45">
      <c r="A40" s="94" t="s">
        <v>103</v>
      </c>
      <c r="B40" s="103">
        <f>1.022^31</f>
        <v>1.9632597808456462</v>
      </c>
      <c r="C40" s="179" t="s">
        <v>202</v>
      </c>
    </row>
    <row r="41" spans="1:3" ht="18.5" x14ac:dyDescent="0.45">
      <c r="A41" s="96"/>
      <c r="B41" s="187"/>
    </row>
    <row r="42" spans="1:3" ht="18.5" x14ac:dyDescent="0.45">
      <c r="A42" s="96" t="s">
        <v>181</v>
      </c>
      <c r="B42" s="182">
        <f>B38/B40</f>
        <v>8762.6573327382885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70" zoomScaleNormal="7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1" t="s">
        <v>27</v>
      </c>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1.8228635248301872E-2</v>
      </c>
      <c r="D13" s="128">
        <f t="shared" ref="D13:AG13" si="3">(1+$C$13)^D8</f>
        <v>1.0182286352483019</v>
      </c>
      <c r="E13" s="128">
        <f t="shared" si="3"/>
        <v>1.0367895536396194</v>
      </c>
      <c r="F13" s="128">
        <f t="shared" si="3"/>
        <v>1.0556888122421657</v>
      </c>
      <c r="G13" s="128">
        <f t="shared" si="3"/>
        <v>1.0749325785362414</v>
      </c>
      <c r="H13" s="128">
        <f t="shared" si="3"/>
        <v>1.094527132426895</v>
      </c>
      <c r="I13" s="128">
        <f t="shared" si="3"/>
        <v>1.1144788682932749</v>
      </c>
      <c r="J13" s="128">
        <f t="shared" si="3"/>
        <v>1.1347942970753331</v>
      </c>
      <c r="K13" s="128">
        <f t="shared" si="3"/>
        <v>1.1554800483985728</v>
      </c>
      <c r="L13" s="128">
        <f t="shared" si="3"/>
        <v>1.1765428727375205</v>
      </c>
      <c r="M13" s="128">
        <f t="shared" si="3"/>
        <v>1.1979896436186421</v>
      </c>
      <c r="N13" s="128">
        <f t="shared" si="3"/>
        <v>1.2198273598634095</v>
      </c>
      <c r="O13" s="128">
        <f t="shared" si="3"/>
        <v>1.2420631478722588</v>
      </c>
      <c r="P13" s="128">
        <f t="shared" si="3"/>
        <v>1.2647042639501798</v>
      </c>
      <c r="Q13" s="128">
        <f t="shared" si="3"/>
        <v>1.2877580966747</v>
      </c>
      <c r="R13" s="128">
        <f t="shared" si="3"/>
        <v>1.3112321693070301</v>
      </c>
      <c r="S13" s="128">
        <f t="shared" si="3"/>
        <v>1.3351341422471681</v>
      </c>
      <c r="T13" s="128">
        <f t="shared" si="3"/>
        <v>1.3594718155337462</v>
      </c>
      <c r="U13" s="128">
        <f t="shared" si="3"/>
        <v>1.3842531313894575</v>
      </c>
      <c r="V13" s="128">
        <f t="shared" si="3"/>
        <v>1.4094861768128757</v>
      </c>
      <c r="W13" s="128">
        <f t="shared" si="3"/>
        <v>1.4351791862175212</v>
      </c>
      <c r="X13" s="128">
        <f t="shared" si="3"/>
        <v>1.461340544119035</v>
      </c>
      <c r="Y13" s="128">
        <f t="shared" si="3"/>
        <v>1.4879787878713362</v>
      </c>
      <c r="Z13" s="128">
        <f t="shared" si="3"/>
        <v>1.5151026104526528</v>
      </c>
      <c r="AA13" s="128">
        <f t="shared" si="3"/>
        <v>1.5427208633023448</v>
      </c>
      <c r="AB13" s="128">
        <f t="shared" si="3"/>
        <v>1.5708425592094284</v>
      </c>
      <c r="AC13" s="128">
        <f t="shared" si="3"/>
        <v>1.5994768752537663</v>
      </c>
      <c r="AD13" s="128">
        <f t="shared" si="3"/>
        <v>1.6286331558008609</v>
      </c>
      <c r="AE13" s="128">
        <f t="shared" si="3"/>
        <v>1.6583209155512457</v>
      </c>
      <c r="AF13" s="128">
        <f t="shared" si="3"/>
        <v>1.6885498426454593</v>
      </c>
      <c r="AG13" s="128">
        <f t="shared" si="3"/>
        <v>1.7193298018256213</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110200000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55100000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289000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4846000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1291380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97969999.999999985</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122430000.00000001</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289358.69686406158</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511410.16872028378</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400384.43279217265</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788711.03946127812</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1311469.9064784062</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1050090.4729698421</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1561500.6416901259</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141</v>
      </c>
      <c r="B77" s="70" t="s">
        <v>176</v>
      </c>
      <c r="C77" s="87">
        <v>420000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1191731280.6278803</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1386063537.6431537</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1192151280.6278803</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1386483537.6431537</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50">
        <v>3548</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50">
        <v>3548</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3548</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336006.56162003393</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390778.90012490237</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248360000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248360000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248360000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248360000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8278666.666666667</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1561500.6416901259</v>
      </c>
      <c r="E111" s="149">
        <f t="shared" si="9"/>
        <v>1561500.6416901259</v>
      </c>
      <c r="F111" s="149">
        <f t="shared" si="9"/>
        <v>1561500.6416901259</v>
      </c>
      <c r="G111" s="149">
        <f t="shared" si="9"/>
        <v>1561500.6416901259</v>
      </c>
      <c r="H111" s="149">
        <f t="shared" si="9"/>
        <v>1561500.6416901259</v>
      </c>
      <c r="I111" s="149">
        <f t="shared" si="9"/>
        <v>1561500.6416901259</v>
      </c>
      <c r="J111" s="149">
        <f t="shared" si="9"/>
        <v>1561500.6416901259</v>
      </c>
      <c r="K111" s="149">
        <f t="shared" si="9"/>
        <v>1561500.6416901259</v>
      </c>
      <c r="L111" s="149">
        <f t="shared" si="9"/>
        <v>1561500.6416901259</v>
      </c>
      <c r="M111" s="149">
        <f t="shared" si="9"/>
        <v>1561500.6416901259</v>
      </c>
      <c r="N111" s="149">
        <f t="shared" si="9"/>
        <v>1561500.6416901259</v>
      </c>
      <c r="O111" s="149">
        <f t="shared" si="9"/>
        <v>1561500.6416901259</v>
      </c>
      <c r="P111" s="149">
        <f t="shared" si="9"/>
        <v>1561500.6416901259</v>
      </c>
      <c r="Q111" s="149">
        <f t="shared" si="9"/>
        <v>1561500.6416901259</v>
      </c>
      <c r="R111" s="149">
        <f t="shared" si="9"/>
        <v>1561500.6416901259</v>
      </c>
      <c r="S111" s="149">
        <f t="shared" si="9"/>
        <v>1561500.6416901259</v>
      </c>
      <c r="T111" s="149">
        <f t="shared" si="9"/>
        <v>1561500.6416901259</v>
      </c>
      <c r="U111" s="149">
        <f t="shared" si="9"/>
        <v>1561500.6416901259</v>
      </c>
      <c r="V111" s="149">
        <f t="shared" si="9"/>
        <v>1561500.6416901259</v>
      </c>
      <c r="W111" s="149">
        <f t="shared" si="9"/>
        <v>1561500.6416901259</v>
      </c>
      <c r="X111" s="149">
        <f t="shared" si="9"/>
        <v>1561500.6416901259</v>
      </c>
      <c r="Y111" s="149">
        <f t="shared" si="9"/>
        <v>1561500.6416901259</v>
      </c>
      <c r="Z111" s="149">
        <f t="shared" si="9"/>
        <v>1561500.6416901259</v>
      </c>
      <c r="AA111" s="149">
        <f t="shared" si="9"/>
        <v>1561500.6416901259</v>
      </c>
      <c r="AB111" s="149">
        <f t="shared" si="9"/>
        <v>1561500.6416901259</v>
      </c>
      <c r="AC111" s="149">
        <f t="shared" si="9"/>
        <v>1561500.6416901259</v>
      </c>
      <c r="AD111" s="149">
        <f t="shared" si="9"/>
        <v>1561500.6416901259</v>
      </c>
      <c r="AE111" s="149">
        <f t="shared" si="9"/>
        <v>1561500.6416901259</v>
      </c>
      <c r="AF111" s="149">
        <f t="shared" si="9"/>
        <v>1561500.6416901259</v>
      </c>
      <c r="AG111" s="149">
        <f t="shared" si="9"/>
        <v>1561500.6416901259</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248359999.99999991</v>
      </c>
      <c r="D113" s="149">
        <f t="shared" ref="D113:AG113" si="10">$C$102</f>
        <v>8278666.666666667</v>
      </c>
      <c r="E113" s="149">
        <f t="shared" si="10"/>
        <v>8278666.666666667</v>
      </c>
      <c r="F113" s="149">
        <f t="shared" si="10"/>
        <v>8278666.666666667</v>
      </c>
      <c r="G113" s="149">
        <f t="shared" si="10"/>
        <v>8278666.666666667</v>
      </c>
      <c r="H113" s="149">
        <f t="shared" si="10"/>
        <v>8278666.666666667</v>
      </c>
      <c r="I113" s="149">
        <f t="shared" si="10"/>
        <v>8278666.666666667</v>
      </c>
      <c r="J113" s="149">
        <f t="shared" si="10"/>
        <v>8278666.666666667</v>
      </c>
      <c r="K113" s="149">
        <f t="shared" si="10"/>
        <v>8278666.666666667</v>
      </c>
      <c r="L113" s="149">
        <f t="shared" si="10"/>
        <v>8278666.666666667</v>
      </c>
      <c r="M113" s="149">
        <f t="shared" si="10"/>
        <v>8278666.666666667</v>
      </c>
      <c r="N113" s="149">
        <f t="shared" si="10"/>
        <v>8278666.666666667</v>
      </c>
      <c r="O113" s="149">
        <f t="shared" si="10"/>
        <v>8278666.666666667</v>
      </c>
      <c r="P113" s="149">
        <f t="shared" si="10"/>
        <v>8278666.666666667</v>
      </c>
      <c r="Q113" s="149">
        <f t="shared" si="10"/>
        <v>8278666.666666667</v>
      </c>
      <c r="R113" s="149">
        <f t="shared" si="10"/>
        <v>8278666.666666667</v>
      </c>
      <c r="S113" s="149">
        <f t="shared" si="10"/>
        <v>8278666.666666667</v>
      </c>
      <c r="T113" s="149">
        <f t="shared" si="10"/>
        <v>8278666.666666667</v>
      </c>
      <c r="U113" s="149">
        <f t="shared" si="10"/>
        <v>8278666.666666667</v>
      </c>
      <c r="V113" s="149">
        <f t="shared" si="10"/>
        <v>8278666.666666667</v>
      </c>
      <c r="W113" s="149">
        <f t="shared" si="10"/>
        <v>8278666.666666667</v>
      </c>
      <c r="X113" s="149">
        <f t="shared" si="10"/>
        <v>8278666.666666667</v>
      </c>
      <c r="Y113" s="149">
        <f t="shared" si="10"/>
        <v>8278666.666666667</v>
      </c>
      <c r="Z113" s="149">
        <f t="shared" si="10"/>
        <v>8278666.666666667</v>
      </c>
      <c r="AA113" s="149">
        <f t="shared" si="10"/>
        <v>8278666.666666667</v>
      </c>
      <c r="AB113" s="149">
        <f t="shared" si="10"/>
        <v>8278666.666666667</v>
      </c>
      <c r="AC113" s="149">
        <f t="shared" si="10"/>
        <v>8278666.666666667</v>
      </c>
      <c r="AD113" s="149">
        <f t="shared" si="10"/>
        <v>8278666.666666667</v>
      </c>
      <c r="AE113" s="149">
        <f t="shared" si="10"/>
        <v>8278666.666666667</v>
      </c>
      <c r="AF113" s="149">
        <f t="shared" si="10"/>
        <v>8278666.666666667</v>
      </c>
      <c r="AG113" s="149">
        <f t="shared" si="10"/>
        <v>8278666.666666667</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8278666.666666667</v>
      </c>
      <c r="E118" s="149">
        <f t="shared" ref="E118:AG118" si="13">E113+E115+E116</f>
        <v>8278666.666666667</v>
      </c>
      <c r="F118" s="149">
        <f>F113+F115+F116</f>
        <v>8278666.666666667</v>
      </c>
      <c r="G118" s="149">
        <f t="shared" si="13"/>
        <v>8278666.666666667</v>
      </c>
      <c r="H118" s="149">
        <f t="shared" si="13"/>
        <v>8278666.666666667</v>
      </c>
      <c r="I118" s="149">
        <f t="shared" si="13"/>
        <v>8278666.666666667</v>
      </c>
      <c r="J118" s="149">
        <f t="shared" si="13"/>
        <v>8278666.666666667</v>
      </c>
      <c r="K118" s="149">
        <f t="shared" si="13"/>
        <v>8278666.666666667</v>
      </c>
      <c r="L118" s="149">
        <f t="shared" si="13"/>
        <v>8278666.666666667</v>
      </c>
      <c r="M118" s="149">
        <f t="shared" si="13"/>
        <v>8278666.666666667</v>
      </c>
      <c r="N118" s="149">
        <f t="shared" si="13"/>
        <v>8278666.666666667</v>
      </c>
      <c r="O118" s="149">
        <f t="shared" si="13"/>
        <v>8278666.666666667</v>
      </c>
      <c r="P118" s="149">
        <f t="shared" si="13"/>
        <v>8278666.666666667</v>
      </c>
      <c r="Q118" s="149">
        <f t="shared" si="13"/>
        <v>8278666.666666667</v>
      </c>
      <c r="R118" s="149">
        <f t="shared" si="13"/>
        <v>8278666.666666667</v>
      </c>
      <c r="S118" s="149">
        <f t="shared" si="13"/>
        <v>8278666.666666667</v>
      </c>
      <c r="T118" s="149">
        <f t="shared" si="13"/>
        <v>8278666.666666667</v>
      </c>
      <c r="U118" s="149">
        <f t="shared" si="13"/>
        <v>8278666.666666667</v>
      </c>
      <c r="V118" s="149">
        <f t="shared" si="13"/>
        <v>8278666.666666667</v>
      </c>
      <c r="W118" s="149">
        <f t="shared" si="13"/>
        <v>8278666.666666667</v>
      </c>
      <c r="X118" s="149">
        <f t="shared" si="13"/>
        <v>8278666.666666667</v>
      </c>
      <c r="Y118" s="149">
        <f t="shared" si="13"/>
        <v>8278666.666666667</v>
      </c>
      <c r="Z118" s="149">
        <f t="shared" si="13"/>
        <v>8278666.666666667</v>
      </c>
      <c r="AA118" s="149">
        <f t="shared" si="13"/>
        <v>8278666.666666667</v>
      </c>
      <c r="AB118" s="149">
        <f t="shared" si="13"/>
        <v>8278666.666666667</v>
      </c>
      <c r="AC118" s="149">
        <f t="shared" si="13"/>
        <v>8278666.666666667</v>
      </c>
      <c r="AD118" s="149">
        <f t="shared" si="13"/>
        <v>8278666.666666667</v>
      </c>
      <c r="AE118" s="149">
        <f t="shared" si="13"/>
        <v>8278666.666666667</v>
      </c>
      <c r="AF118" s="149">
        <f t="shared" si="13"/>
        <v>8278666.666666667</v>
      </c>
      <c r="AG118" s="149">
        <f t="shared" si="13"/>
        <v>8278666.666666667</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198688</v>
      </c>
      <c r="E120" s="149">
        <f>(SUM($D$118:E118)*$C$104/$C$106)+(SUM($D$118:E118)*$C$105/$C$107)</f>
        <v>397376</v>
      </c>
      <c r="F120" s="149">
        <f>(SUM($D$118:F118)*$C$104/$C$106)+(SUM($D$118:F118)*$C$105/$C$107)</f>
        <v>596064</v>
      </c>
      <c r="G120" s="149">
        <f>(SUM($D$118:G118)*$C$104/$C$106)+(SUM($D$118:G118)*$C$105/$C$107)</f>
        <v>794752</v>
      </c>
      <c r="H120" s="149">
        <f>(SUM($D$118:H118)*$C$104/$C$106)+(SUM($D$118:H118)*$C$105/$C$107)</f>
        <v>993440</v>
      </c>
      <c r="I120" s="149">
        <f>(SUM($D$118:I118)*$C$104/$C$106)+(SUM($D$118:I118)*$C$105/$C$107)</f>
        <v>1192128</v>
      </c>
      <c r="J120" s="149">
        <f>(SUM($D$118:J118)*$C$104/$C$106)+(SUM($D$118:J118)*$C$105/$C$107)</f>
        <v>1390816</v>
      </c>
      <c r="K120" s="149">
        <f>(SUM($D$118:K118)*$C$104/$C$106)+(SUM($D$118:K118)*$C$105/$C$107)</f>
        <v>1589503.9999999998</v>
      </c>
      <c r="L120" s="149">
        <f>(SUM($D$118:L118)*$C$104/$C$106)+(SUM($D$118:L118)*$C$105/$C$107)</f>
        <v>1788192</v>
      </c>
      <c r="M120" s="149">
        <f>(SUM($D$118:M118)*$C$104/$C$106)+(SUM($D$118:M118)*$C$105/$C$107)</f>
        <v>1986880</v>
      </c>
      <c r="N120" s="149">
        <f>(SUM($D$118:N118)*$C$104/$C$106)+(SUM($D$118:N118)*$C$105/$C$107)</f>
        <v>2185568.0000000005</v>
      </c>
      <c r="O120" s="149">
        <f>(SUM($D$118:O118)*$C$104/$C$106)+(SUM($D$118:O118)*$C$105/$C$107)</f>
        <v>2384256.0000000005</v>
      </c>
      <c r="P120" s="149">
        <f>(SUM($D$118:P118)*$C$104/$C$106)+(SUM($D$118:P118)*$C$105/$C$107)</f>
        <v>2582944.0000000005</v>
      </c>
      <c r="Q120" s="149">
        <f>(SUM($D$118:Q118)*$C$104/$C$106)+(SUM($D$118:Q118)*$C$105/$C$107)</f>
        <v>2781632.0000000005</v>
      </c>
      <c r="R120" s="149">
        <f>(SUM($D$118:R118)*$C$104/$C$106)+(SUM($D$118:R118)*$C$105/$C$107)</f>
        <v>2980320.0000000005</v>
      </c>
      <c r="S120" s="149">
        <f>(SUM($D$118:S118)*$C$104/$C$106)+(SUM($D$118:S118)*$C$105/$C$107)</f>
        <v>3179008.0000000009</v>
      </c>
      <c r="T120" s="149">
        <f>(SUM($D$118:T118)*$C$104/$C$106)+(SUM($D$118:T118)*$C$105/$C$107)</f>
        <v>3377696.0000000005</v>
      </c>
      <c r="U120" s="149">
        <f>(SUM($D$118:U118)*$C$104/$C$106)+(SUM($D$118:U118)*$C$105/$C$107)</f>
        <v>3576384.0000000005</v>
      </c>
      <c r="V120" s="149">
        <f>(SUM($D$118:V118)*$C$104/$C$106)+(SUM($D$118:V118)*$C$105/$C$107)</f>
        <v>3775072.0000000009</v>
      </c>
      <c r="W120" s="149">
        <f>(SUM($D$118:W118)*$C$104/$C$106)+(SUM($D$118:W118)*$C$105/$C$107)</f>
        <v>3973760</v>
      </c>
      <c r="X120" s="149">
        <f>(SUM($D$118:X118)*$C$104/$C$106)+(SUM($D$118:X118)*$C$105/$C$107)</f>
        <v>4172448</v>
      </c>
      <c r="Y120" s="149">
        <f>(SUM($D$118:Y118)*$C$104/$C$106)+(SUM($D$118:Y118)*$C$105/$C$107)</f>
        <v>4371136</v>
      </c>
      <c r="Z120" s="149">
        <f>(SUM($D$118:Z118)*$C$104/$C$106)+(SUM($D$118:Z118)*$C$105/$C$107)</f>
        <v>4569823.9999999991</v>
      </c>
      <c r="AA120" s="149">
        <f>(SUM($D$118:AA118)*$C$104/$C$106)+(SUM($D$118:AA118)*$C$105/$C$107)</f>
        <v>4768511.9999999991</v>
      </c>
      <c r="AB120" s="149">
        <f>(SUM($D$118:AB118)*$C$104/$C$106)+(SUM($D$118:AB118)*$C$105/$C$107)</f>
        <v>4967199.9999999991</v>
      </c>
      <c r="AC120" s="149">
        <f>(SUM($D$118:AC118)*$C$104/$C$106)+(SUM($D$118:AC118)*$C$105/$C$107)</f>
        <v>5165887.9999999991</v>
      </c>
      <c r="AD120" s="149">
        <f>(SUM($D$118:AD118)*$C$104/$C$106)+(SUM($D$118:AD118)*$C$105/$C$107)</f>
        <v>5364575.9999999981</v>
      </c>
      <c r="AE120" s="149">
        <f>(SUM($D$118:AE118)*$C$104/$C$106)+(SUM($D$118:AE118)*$C$105/$C$107)</f>
        <v>5563263.9999999972</v>
      </c>
      <c r="AF120" s="149">
        <f>(SUM($D$118:AF118)*$C$104/$C$106)+(SUM($D$118:AF118)*$C$105/$C$107)</f>
        <v>5761951.9999999981</v>
      </c>
      <c r="AG120" s="149">
        <f>(SUM($D$118:AG118)*$C$104/$C$106)+(SUM($D$118:AG118)*$C$105/$C$107)</f>
        <v>5960639.9999999981</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248360</v>
      </c>
      <c r="E122" s="72">
        <f>(SUM($D$118:E118)*$C$109)</f>
        <v>496720</v>
      </c>
      <c r="F122" s="72">
        <f>(SUM($D$118:F118)*$C$109)</f>
        <v>745080</v>
      </c>
      <c r="G122" s="72">
        <f>(SUM($D$118:G118)*$C$109)</f>
        <v>993440</v>
      </c>
      <c r="H122" s="72">
        <f>(SUM($D$118:H118)*$C$109)</f>
        <v>1241800</v>
      </c>
      <c r="I122" s="72">
        <f>(SUM($D$118:I118)*$C$109)</f>
        <v>1490160</v>
      </c>
      <c r="J122" s="72">
        <f>(SUM($D$118:J118)*$C$109)</f>
        <v>1738519.9999999998</v>
      </c>
      <c r="K122" s="72">
        <f>(SUM($D$118:K118)*$C$109)</f>
        <v>1986879.9999999998</v>
      </c>
      <c r="L122" s="72">
        <f>(SUM($D$118:L118)*$C$109)</f>
        <v>2235240</v>
      </c>
      <c r="M122" s="72">
        <f>(SUM($D$118:M118)*$C$109)</f>
        <v>2483600</v>
      </c>
      <c r="N122" s="72">
        <f>(SUM($D$118:N118)*$C$109)</f>
        <v>2731960</v>
      </c>
      <c r="O122" s="72">
        <f>(SUM($D$118:O118)*$C$109)</f>
        <v>2980320.0000000005</v>
      </c>
      <c r="P122" s="72">
        <f>(SUM($D$118:P118)*$C$109)</f>
        <v>3228680.0000000005</v>
      </c>
      <c r="Q122" s="72">
        <f>(SUM($D$118:Q118)*$C$109)</f>
        <v>3477040.0000000005</v>
      </c>
      <c r="R122" s="72">
        <f>(SUM($D$118:R118)*$C$109)</f>
        <v>3725400.0000000009</v>
      </c>
      <c r="S122" s="72">
        <f>(SUM($D$118:S118)*$C$109)</f>
        <v>3973760.0000000009</v>
      </c>
      <c r="T122" s="72">
        <f>(SUM($D$118:T118)*$C$109)</f>
        <v>4222120.0000000009</v>
      </c>
      <c r="U122" s="72">
        <f>(SUM($D$118:U118)*$C$109)</f>
        <v>4470480.0000000009</v>
      </c>
      <c r="V122" s="72">
        <f>(SUM($D$118:V118)*$C$109)</f>
        <v>4718840</v>
      </c>
      <c r="W122" s="72">
        <f>(SUM($D$118:W118)*$C$109)</f>
        <v>4967200</v>
      </c>
      <c r="X122" s="72">
        <f>(SUM($D$118:X118)*$C$109)</f>
        <v>5215560</v>
      </c>
      <c r="Y122" s="72">
        <f>(SUM($D$118:Y118)*$C$109)</f>
        <v>5463919.9999999991</v>
      </c>
      <c r="Z122" s="72">
        <f>(SUM($D$118:Z118)*$C$109)</f>
        <v>5712279.9999999991</v>
      </c>
      <c r="AA122" s="72">
        <f>(SUM($D$118:AA118)*$C$109)</f>
        <v>5960639.9999999991</v>
      </c>
      <c r="AB122" s="72">
        <f>(SUM($D$118:AB118)*$C$109)</f>
        <v>6208999.9999999981</v>
      </c>
      <c r="AC122" s="72">
        <f>(SUM($D$118:AC118)*$C$109)</f>
        <v>6457359.9999999981</v>
      </c>
      <c r="AD122" s="72">
        <f>(SUM($D$118:AD118)*$C$109)</f>
        <v>6705719.9999999981</v>
      </c>
      <c r="AE122" s="72">
        <f>(SUM($D$118:AE118)*$C$109)</f>
        <v>6954079.9999999972</v>
      </c>
      <c r="AF122" s="72">
        <f>(SUM($D$118:AF118)*$C$109)</f>
        <v>7202439.9999999972</v>
      </c>
      <c r="AG122" s="72">
        <f>(SUM($D$118:AG118)*$C$109)</f>
        <v>7450799.9999999972</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197</v>
      </c>
      <c r="C126" s="126">
        <v>3548</v>
      </c>
      <c r="D126" s="140"/>
    </row>
    <row r="127" spans="1:33" x14ac:dyDescent="0.35">
      <c r="A127" s="77" t="s">
        <v>151</v>
      </c>
      <c r="B127" s="77" t="s">
        <v>133</v>
      </c>
      <c r="C127" s="126">
        <v>3548</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3548</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1314.0740740740739</v>
      </c>
      <c r="D135" s="157">
        <f t="shared" ref="D135:AG135" si="14">$C$135*D13</f>
        <v>1338.0278510596202</v>
      </c>
      <c r="E135" s="157">
        <f t="shared" si="14"/>
        <v>1362.4182727086552</v>
      </c>
      <c r="F135" s="157">
        <f t="shared" si="14"/>
        <v>1387.2532984574827</v>
      </c>
      <c r="G135" s="157">
        <f t="shared" si="14"/>
        <v>1412.5410328320681</v>
      </c>
      <c r="H135" s="157">
        <f t="shared" si="14"/>
        <v>1438.2897280928235</v>
      </c>
      <c r="I135" s="157">
        <f t="shared" si="14"/>
        <v>1464.507786927607</v>
      </c>
      <c r="J135" s="157">
        <f t="shared" si="14"/>
        <v>1491.2037651938078</v>
      </c>
      <c r="K135" s="157">
        <f t="shared" si="14"/>
        <v>1518.3863747104206</v>
      </c>
      <c r="L135" s="157">
        <f t="shared" si="14"/>
        <v>1546.0644861010082</v>
      </c>
      <c r="M135" s="157">
        <f t="shared" si="14"/>
        <v>1574.2471316884969</v>
      </c>
      <c r="N135" s="157">
        <f t="shared" si="14"/>
        <v>1602.9435084427321</v>
      </c>
      <c r="O135" s="157">
        <f t="shared" si="14"/>
        <v>1632.162980981768</v>
      </c>
      <c r="P135" s="157">
        <f t="shared" si="14"/>
        <v>1661.9150846278656</v>
      </c>
      <c r="Q135" s="157">
        <f t="shared" si="14"/>
        <v>1692.2095285191981</v>
      </c>
      <c r="R135" s="157">
        <f t="shared" si="14"/>
        <v>1723.0561987782748</v>
      </c>
      <c r="S135" s="157">
        <f t="shared" si="14"/>
        <v>1754.4651617381303</v>
      </c>
      <c r="T135" s="157">
        <f t="shared" si="14"/>
        <v>1786.4466672273077</v>
      </c>
      <c r="U135" s="157">
        <f t="shared" si="14"/>
        <v>1819.0111519147388</v>
      </c>
      <c r="V135" s="157">
        <f t="shared" si="14"/>
        <v>1852.1692427155861</v>
      </c>
      <c r="W135" s="157">
        <f t="shared" si="14"/>
        <v>1885.9317602591721</v>
      </c>
      <c r="X135" s="157">
        <f t="shared" si="14"/>
        <v>1920.3097224201242</v>
      </c>
      <c r="Y135" s="157">
        <f t="shared" si="14"/>
        <v>1955.3143479138889</v>
      </c>
      <c r="Z135" s="157">
        <f t="shared" si="14"/>
        <v>1990.9570599577821</v>
      </c>
      <c r="AA135" s="157">
        <f t="shared" si="14"/>
        <v>2027.2494899987846</v>
      </c>
      <c r="AB135" s="157">
        <f t="shared" si="14"/>
        <v>2064.2034815092784</v>
      </c>
      <c r="AC135" s="157">
        <f t="shared" si="14"/>
        <v>2101.8310938519858</v>
      </c>
      <c r="AD135" s="157">
        <f t="shared" si="14"/>
        <v>2140.1446062153532</v>
      </c>
      <c r="AE135" s="157">
        <f t="shared" si="14"/>
        <v>2179.1565216206736</v>
      </c>
      <c r="AF135" s="157">
        <f t="shared" si="14"/>
        <v>2218.879571002255</v>
      </c>
      <c r="AG135" s="157">
        <f t="shared" si="14"/>
        <v>2259.3267173619643</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0.2</v>
      </c>
      <c r="F4" s="65">
        <v>0.15</v>
      </c>
      <c r="G4" s="65">
        <v>0.15</v>
      </c>
      <c r="H4" s="65">
        <v>0.15</v>
      </c>
      <c r="I4" s="65">
        <v>0.15</v>
      </c>
      <c r="J4" s="65">
        <v>0.15</v>
      </c>
      <c r="K4" s="65">
        <v>0.1</v>
      </c>
      <c r="L4" s="65">
        <v>0.08</v>
      </c>
      <c r="M4" s="65">
        <v>0.08</v>
      </c>
      <c r="N4" s="65">
        <v>0.08</v>
      </c>
      <c r="O4" s="65">
        <v>0.08</v>
      </c>
      <c r="P4" s="65">
        <v>0.05</v>
      </c>
      <c r="Q4" s="65">
        <v>0.04</v>
      </c>
      <c r="R4" s="65">
        <v>0.04</v>
      </c>
      <c r="S4" s="65">
        <v>0.04</v>
      </c>
      <c r="T4" s="65">
        <v>0.04</v>
      </c>
      <c r="U4" s="65">
        <v>0.04</v>
      </c>
      <c r="V4" s="65">
        <v>0.04</v>
      </c>
      <c r="W4" s="65">
        <v>3.5000000000000003E-2</v>
      </c>
      <c r="X4" s="65">
        <v>0.03</v>
      </c>
      <c r="Y4" s="65">
        <v>0.03</v>
      </c>
      <c r="Z4" s="65">
        <v>0.03</v>
      </c>
      <c r="AA4" s="65">
        <v>0.03</v>
      </c>
      <c r="AB4" s="65">
        <v>0.03</v>
      </c>
      <c r="AC4" s="65">
        <v>0.03</v>
      </c>
      <c r="AD4" s="65">
        <v>0.03</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2.5235861921429832</v>
      </c>
      <c r="C6" s="25"/>
      <c r="D6" s="25"/>
      <c r="E6" s="27">
        <f>'Debt worksheet'!C5/'Profit and Loss'!C5</f>
        <v>4.8807648075166056E-2</v>
      </c>
      <c r="F6" s="28">
        <f ca="1">'Debt worksheet'!D5/'Profit and Loss'!D5</f>
        <v>0.9454076040676086</v>
      </c>
      <c r="G6" s="28">
        <f ca="1">'Debt worksheet'!E5/'Profit and Loss'!E5</f>
        <v>1.5880560409046776</v>
      </c>
      <c r="H6" s="28">
        <f ca="1">'Debt worksheet'!F5/'Profit and Loss'!F5</f>
        <v>2.0160389852439846</v>
      </c>
      <c r="I6" s="28">
        <f ca="1">'Debt worksheet'!G5/'Profit and Loss'!G5</f>
        <v>2.2639291415219858</v>
      </c>
      <c r="J6" s="28">
        <f ca="1">'Debt worksheet'!H5/'Profit and Loss'!H5</f>
        <v>2.3620227087444525</v>
      </c>
      <c r="K6" s="28">
        <f ca="1">'Debt worksheet'!I5/'Profit and Loss'!I5</f>
        <v>2.4429710869007515</v>
      </c>
      <c r="L6" s="28">
        <f ca="1">'Debt worksheet'!J5/'Profit and Loss'!J5</f>
        <v>2.504254447218965</v>
      </c>
      <c r="M6" s="28">
        <f ca="1">'Debt worksheet'!K5/'Profit and Loss'!K5</f>
        <v>2.5235861921429832</v>
      </c>
      <c r="N6" s="28">
        <f ca="1">'Debt worksheet'!L5/'Profit and Loss'!L5</f>
        <v>2.5034809940063174</v>
      </c>
      <c r="O6" s="28">
        <f ca="1">'Debt worksheet'!M5/'Profit and Loss'!M5</f>
        <v>2.4464649085281605</v>
      </c>
      <c r="P6" s="28">
        <f ca="1">'Debt worksheet'!N5/'Profit and Loss'!N5</f>
        <v>2.4223406398398595</v>
      </c>
      <c r="Q6" s="28">
        <f ca="1">'Debt worksheet'!O5/'Profit and Loss'!O5</f>
        <v>2.4117441976620588</v>
      </c>
      <c r="R6" s="28">
        <f ca="1">'Debt worksheet'!P5/'Profit and Loss'!P5</f>
        <v>2.4000267259060455</v>
      </c>
      <c r="S6" s="28">
        <f ca="1">'Debt worksheet'!Q5/'Profit and Loss'!Q5</f>
        <v>2.3863887010806364</v>
      </c>
      <c r="T6" s="28">
        <f ca="1">'Debt worksheet'!R5/'Profit and Loss'!R5</f>
        <v>2.370099897198811</v>
      </c>
      <c r="U6" s="28">
        <f ca="1">'Debt worksheet'!S5/'Profit and Loss'!S5</f>
        <v>2.3504954085755232</v>
      </c>
      <c r="V6" s="28">
        <f ca="1">'Debt worksheet'!T5/'Profit and Loss'!T5</f>
        <v>2.3269718653308167</v>
      </c>
      <c r="W6" s="28">
        <f ca="1">'Debt worksheet'!U5/'Profit and Loss'!U5</f>
        <v>2.3100900351503562</v>
      </c>
      <c r="X6" s="28">
        <f ca="1">'Debt worksheet'!V5/'Profit and Loss'!V5</f>
        <v>2.303867429569955</v>
      </c>
      <c r="Y6" s="28">
        <f ca="1">'Debt worksheet'!W5/'Profit and Loss'!W5</f>
        <v>2.3012690334234716</v>
      </c>
      <c r="Z6" s="28">
        <f ca="1">'Debt worksheet'!X5/'Profit and Loss'!X5</f>
        <v>2.3017008815899112</v>
      </c>
      <c r="AA6" s="28">
        <f ca="1">'Debt worksheet'!Y5/'Profit and Loss'!Y5</f>
        <v>2.3045984355792584</v>
      </c>
      <c r="AB6" s="28">
        <f ca="1">'Debt worksheet'!Z5/'Profit and Loss'!Z5</f>
        <v>2.3094254894399504</v>
      </c>
      <c r="AC6" s="28">
        <f ca="1">'Debt worksheet'!AA5/'Profit and Loss'!AA5</f>
        <v>2.3156731117313054</v>
      </c>
      <c r="AD6" s="28">
        <f ca="1">'Debt worksheet'!AB5/'Profit and Loss'!AB5</f>
        <v>2.3228586224418213</v>
      </c>
      <c r="AE6" s="28">
        <f ca="1">'Debt worksheet'!AC5/'Profit and Loss'!AC5</f>
        <v>2.3487674578090574</v>
      </c>
      <c r="AF6" s="28">
        <f ca="1">'Debt worksheet'!AD5/'Profit and Loss'!AD5</f>
        <v>2.3827826726453885</v>
      </c>
      <c r="AG6" s="28">
        <f ca="1">'Debt worksheet'!AE5/'Profit and Loss'!AE5</f>
        <v>2.4245168592562787</v>
      </c>
      <c r="AH6" s="28">
        <f ca="1">'Debt worksheet'!AF5/'Profit and Loss'!AF5</f>
        <v>2.4735930769612797</v>
      </c>
      <c r="AI6" s="31"/>
    </row>
    <row r="7" spans="1:35" ht="21" x14ac:dyDescent="0.5">
      <c r="A7" s="19" t="s">
        <v>38</v>
      </c>
      <c r="B7" s="26">
        <f ca="1">MIN('Price and Financial ratios'!E7:AH7)</f>
        <v>0.23175946520247107</v>
      </c>
      <c r="C7" s="26"/>
      <c r="D7" s="26"/>
      <c r="E7" s="56">
        <f ca="1">'Cash Flow'!C7/'Debt worksheet'!C5</f>
        <v>14.166457317107097</v>
      </c>
      <c r="F7" s="32">
        <f ca="1">'Cash Flow'!D7/'Debt worksheet'!D5</f>
        <v>0.69641291635963765</v>
      </c>
      <c r="G7" s="32">
        <f ca="1">'Cash Flow'!E7/'Debt worksheet'!E5</f>
        <v>0.40311432629290511</v>
      </c>
      <c r="H7" s="32">
        <f ca="1">'Cash Flow'!F7/'Debt worksheet'!F5</f>
        <v>0.31443912276350372</v>
      </c>
      <c r="I7" s="32">
        <f ca="1">'Cash Flow'!G7/'Debt worksheet'!G5</f>
        <v>0.28148380417687796</v>
      </c>
      <c r="J7" s="32">
        <f ca="1">'Cash Flow'!H7/'Debt worksheet'!H5</f>
        <v>0.27441034057622066</v>
      </c>
      <c r="K7" s="32">
        <f ca="1">'Cash Flow'!I7/'Debt worksheet'!I5</f>
        <v>0.26527557831817983</v>
      </c>
      <c r="L7" s="32">
        <f ca="1">'Cash Flow'!J7/'Debt worksheet'!J5</f>
        <v>0.25755357841918014</v>
      </c>
      <c r="M7" s="17">
        <f ca="1">'Cash Flow'!K7/'Debt worksheet'!K5</f>
        <v>0.25558418065467403</v>
      </c>
      <c r="N7" s="17">
        <f ca="1">'Cash Flow'!L7/'Debt worksheet'!L5</f>
        <v>0.25875241177574565</v>
      </c>
      <c r="O7" s="17">
        <f ca="1">'Cash Flow'!M7/'Debt worksheet'!M5</f>
        <v>0.26694635011775653</v>
      </c>
      <c r="P7" s="17">
        <f ca="1">'Cash Flow'!N7/'Debt worksheet'!N5</f>
        <v>0.2682824876605821</v>
      </c>
      <c r="Q7" s="17">
        <f ca="1">'Cash Flow'!O7/'Debt worksheet'!O5</f>
        <v>0.26709625679840376</v>
      </c>
      <c r="R7" s="17">
        <f ca="1">'Cash Flow'!P7/'Debt worksheet'!P5</f>
        <v>0.26635248917801913</v>
      </c>
      <c r="S7" s="17">
        <f ca="1">'Cash Flow'!Q7/'Debt worksheet'!Q5</f>
        <v>0.26613947482786826</v>
      </c>
      <c r="T7" s="17">
        <f ca="1">'Cash Flow'!R7/'Debt worksheet'!R5</f>
        <v>0.26654144109743294</v>
      </c>
      <c r="U7" s="17">
        <f ca="1">'Cash Flow'!S7/'Debt worksheet'!S5</f>
        <v>0.26764151954021581</v>
      </c>
      <c r="V7" s="17">
        <f ca="1">'Cash Flow'!T7/'Debt worksheet'!T5</f>
        <v>0.26952503742809075</v>
      </c>
      <c r="W7" s="17">
        <f ca="1">'Cash Flow'!U7/'Debt worksheet'!U5</f>
        <v>0.2701161147518733</v>
      </c>
      <c r="X7" s="17">
        <f ca="1">'Cash Flow'!V7/'Debt worksheet'!V5</f>
        <v>0.26880921607987224</v>
      </c>
      <c r="Y7" s="17">
        <f ca="1">'Cash Flow'!W7/'Debt worksheet'!W5</f>
        <v>0.26720327070663263</v>
      </c>
      <c r="Z7" s="17">
        <f ca="1">'Cash Flow'!X7/'Debt worksheet'!X5</f>
        <v>0.26537468997890756</v>
      </c>
      <c r="AA7" s="17">
        <f ca="1">'Cash Flow'!Y7/'Debt worksheet'!Y5</f>
        <v>0.26339651245740592</v>
      </c>
      <c r="AB7" s="17">
        <f ca="1">'Cash Flow'!Z7/'Debt worksheet'!Z5</f>
        <v>0.26133732244383961</v>
      </c>
      <c r="AC7" s="17">
        <f ca="1">'Cash Flow'!AA7/'Debt worksheet'!AA5</f>
        <v>0.25926059768760629</v>
      </c>
      <c r="AD7" s="17">
        <f ca="1">'Cash Flow'!AB7/'Debt worksheet'!AB5</f>
        <v>0.25722442890517938</v>
      </c>
      <c r="AE7" s="17">
        <f ca="1">'Cash Flow'!AC7/'Debt worksheet'!AC5</f>
        <v>0.25182794759684268</v>
      </c>
      <c r="AF7" s="17">
        <f ca="1">'Cash Flow'!AD7/'Debt worksheet'!AD5</f>
        <v>0.24569646062597703</v>
      </c>
      <c r="AG7" s="17">
        <f ca="1">'Cash Flow'!AE7/'Debt worksheet'!AE5</f>
        <v>0.23896320134042437</v>
      </c>
      <c r="AH7" s="17">
        <f ca="1">'Cash Flow'!AF7/'Debt worksheet'!AF5</f>
        <v>0.23175946520247107</v>
      </c>
      <c r="AI7" s="29"/>
    </row>
    <row r="8" spans="1:35" ht="21" x14ac:dyDescent="0.5">
      <c r="A8" s="19" t="s">
        <v>33</v>
      </c>
      <c r="B8" s="26">
        <f ca="1">MAX('Price and Financial ratios'!E8:AH8)</f>
        <v>0.36971174293293546</v>
      </c>
      <c r="C8" s="26"/>
      <c r="D8" s="176"/>
      <c r="E8" s="17">
        <f>'Balance Sheet'!B11/'Balance Sheet'!B8</f>
        <v>5.4238193739532285E-3</v>
      </c>
      <c r="F8" s="17">
        <f ca="1">'Balance Sheet'!C11/'Balance Sheet'!C8</f>
        <v>0.11855369055645881</v>
      </c>
      <c r="G8" s="17">
        <f ca="1">'Balance Sheet'!D11/'Balance Sheet'!D8</f>
        <v>0.20201500874509631</v>
      </c>
      <c r="H8" s="17">
        <f ca="1">'Balance Sheet'!E11/'Balance Sheet'!E8</f>
        <v>0.26392212424209599</v>
      </c>
      <c r="I8" s="17">
        <f ca="1">'Balance Sheet'!F11/'Balance Sheet'!F8</f>
        <v>0.30850289885803733</v>
      </c>
      <c r="J8" s="17">
        <f ca="1">'Balance Sheet'!G11/'Balance Sheet'!G8</f>
        <v>0.33817221640700784</v>
      </c>
      <c r="K8" s="17">
        <f ca="1">'Balance Sheet'!H11/'Balance Sheet'!H8</f>
        <v>0.35422070174482667</v>
      </c>
      <c r="L8" s="17">
        <f ca="1">'Balance Sheet'!I11/'Balance Sheet'!I8</f>
        <v>0.36340344102915223</v>
      </c>
      <c r="M8" s="17">
        <f ca="1">'Balance Sheet'!J11/'Balance Sheet'!J8</f>
        <v>0.36854705655115544</v>
      </c>
      <c r="N8" s="17">
        <f ca="1">'Balance Sheet'!K11/'Balance Sheet'!K8</f>
        <v>0.36971174293293546</v>
      </c>
      <c r="O8" s="17">
        <f ca="1">'Balance Sheet'!L11/'Balance Sheet'!L8</f>
        <v>0.3668724452990817</v>
      </c>
      <c r="P8" s="17">
        <f ca="1">'Balance Sheet'!M11/'Balance Sheet'!M8</f>
        <v>0.35993801728902503</v>
      </c>
      <c r="Q8" s="17">
        <f ca="1">'Balance Sheet'!N11/'Balance Sheet'!N8</f>
        <v>0.35285435556061523</v>
      </c>
      <c r="R8" s="17">
        <f ca="1">'Balance Sheet'!O11/'Balance Sheet'!O8</f>
        <v>0.34674484383713866</v>
      </c>
      <c r="S8" s="17">
        <f ca="1">'Balance Sheet'!P11/'Balance Sheet'!P8</f>
        <v>0.34134428641316511</v>
      </c>
      <c r="T8" s="17">
        <f ca="1">'Balance Sheet'!Q11/'Balance Sheet'!Q8</f>
        <v>0.33642795015519522</v>
      </c>
      <c r="U8" s="17">
        <f ca="1">'Balance Sheet'!R11/'Balance Sheet'!R8</f>
        <v>0.33180212767282213</v>
      </c>
      <c r="V8" s="17">
        <f ca="1">'Balance Sheet'!S11/'Balance Sheet'!S8</f>
        <v>0.32729711353012209</v>
      </c>
      <c r="W8" s="17">
        <f ca="1">'Balance Sheet'!T11/'Balance Sheet'!T8</f>
        <v>0.32276189955083534</v>
      </c>
      <c r="X8" s="17">
        <f ca="1">'Balance Sheet'!U11/'Balance Sheet'!U8</f>
        <v>0.31872046133481391</v>
      </c>
      <c r="Y8" s="17">
        <f ca="1">'Balance Sheet'!V11/'Balance Sheet'!V8</f>
        <v>0.31569101806178984</v>
      </c>
      <c r="Z8" s="17">
        <f ca="1">'Balance Sheet'!W11/'Balance Sheet'!W8</f>
        <v>0.31352996260120203</v>
      </c>
      <c r="AA8" s="17">
        <f ca="1">'Balance Sheet'!X11/'Balance Sheet'!X8</f>
        <v>0.31211084098784647</v>
      </c>
      <c r="AB8" s="17">
        <f ca="1">'Balance Sheet'!Y11/'Balance Sheet'!Y8</f>
        <v>0.31132132306478971</v>
      </c>
      <c r="AC8" s="17">
        <f ca="1">'Balance Sheet'!Z11/'Balance Sheet'!Z8</f>
        <v>0.31106077008879823</v>
      </c>
      <c r="AD8" s="17">
        <f ca="1">'Balance Sheet'!AA11/'Balance Sheet'!AA8</f>
        <v>0.31123826599460974</v>
      </c>
      <c r="AE8" s="17">
        <f ca="1">'Balance Sheet'!AB11/'Balance Sheet'!AB8</f>
        <v>0.31177101197690205</v>
      </c>
      <c r="AF8" s="17">
        <f ca="1">'Balance Sheet'!AC11/'Balance Sheet'!AC8</f>
        <v>0.31360894248863463</v>
      </c>
      <c r="AG8" s="17">
        <f ca="1">'Balance Sheet'!AD11/'Balance Sheet'!AD8</f>
        <v>0.31666193756261252</v>
      </c>
      <c r="AH8" s="17">
        <f ca="1">'Balance Sheet'!AE11/'Balance Sheet'!AE8</f>
        <v>0.32084967644421564</v>
      </c>
      <c r="AI8" s="29"/>
    </row>
    <row r="9" spans="1:35" ht="21.5" thickBot="1" x14ac:dyDescent="0.55000000000000004">
      <c r="A9" s="20" t="s">
        <v>32</v>
      </c>
      <c r="B9" s="21">
        <f ca="1">MIN('Price and Financial ratios'!E9:AH9)</f>
        <v>7.2221715292327833</v>
      </c>
      <c r="C9" s="21"/>
      <c r="D9" s="177"/>
      <c r="E9" s="21">
        <f ca="1">('Cash Flow'!C7+'Profit and Loss'!C8)/('Profit and Loss'!C8)</f>
        <v>18.845094651844224</v>
      </c>
      <c r="F9" s="21">
        <f ca="1">('Cash Flow'!D7+'Profit and Loss'!D8)/('Profit and Loss'!D8)</f>
        <v>11.116001689506943</v>
      </c>
      <c r="G9" s="21">
        <f ca="1">('Cash Flow'!E7+'Profit and Loss'!E8)/('Profit and Loss'!E8)</f>
        <v>8.7478988070384283</v>
      </c>
      <c r="H9" s="21">
        <f ca="1">('Cash Flow'!F7+'Profit and Loss'!F8)/('Profit and Loss'!F8)</f>
        <v>7.8322143180384352</v>
      </c>
      <c r="I9" s="21">
        <f ca="1">('Cash Flow'!G7+'Profit and Loss'!G8)/('Profit and Loss'!G8)</f>
        <v>7.5829564475419691</v>
      </c>
      <c r="J9" s="21">
        <f ca="1">('Cash Flow'!H7+'Profit and Loss'!H8)/('Profit and Loss'!H8)</f>
        <v>7.7679973277998782</v>
      </c>
      <c r="K9" s="21">
        <f ca="1">('Cash Flow'!I7+'Profit and Loss'!I8)/('Profit and Loss'!I8)</f>
        <v>7.723571647185314</v>
      </c>
      <c r="L9" s="21">
        <f ca="1">('Cash Flow'!J7+'Profit and Loss'!J8)/('Profit and Loss'!J8)</f>
        <v>7.640347286081143</v>
      </c>
      <c r="M9" s="21">
        <f ca="1">('Cash Flow'!K7+'Profit and Loss'!K8)/('Profit and Loss'!K8)</f>
        <v>7.6937687910610251</v>
      </c>
      <c r="N9" s="21">
        <f ca="1">('Cash Flow'!L7+'Profit and Loss'!L8)/('Profit and Loss'!L8)</f>
        <v>7.8794324112441707</v>
      </c>
      <c r="O9" s="21">
        <f ca="1">('Cash Flow'!M7+'Profit and Loss'!M8)/('Profit and Loss'!M8)</f>
        <v>8.2048528073203766</v>
      </c>
      <c r="P9" s="21">
        <f ca="1">('Cash Flow'!N7+'Profit and Loss'!N8)/('Profit and Loss'!N8)</f>
        <v>8.2702543977652159</v>
      </c>
      <c r="Q9" s="21">
        <f ca="1">('Cash Flow'!O7+'Profit and Loss'!O8)/('Profit and Loss'!O8)</f>
        <v>8.2416290773236476</v>
      </c>
      <c r="R9" s="21">
        <f ca="1">('Cash Flow'!P7+'Profit and Loss'!P8)/('Profit and Loss'!P8)</f>
        <v>8.2274477987214638</v>
      </c>
      <c r="S9" s="21">
        <f ca="1">('Cash Flow'!Q7+'Profit and Loss'!Q8)/('Profit and Loss'!Q8)</f>
        <v>8.2299807033948795</v>
      </c>
      <c r="T9" s="21">
        <f ca="1">('Cash Flow'!R7+'Profit and Loss'!R8)/('Profit and Loss'!R8)</f>
        <v>8.2514573289931974</v>
      </c>
      <c r="U9" s="21">
        <f ca="1">('Cash Flow'!S7+'Profit and Loss'!S8)/('Profit and Loss'!S8)</f>
        <v>8.2941564091990614</v>
      </c>
      <c r="V9" s="21">
        <f ca="1">('Cash Flow'!T7+'Profit and Loss'!T8)/('Profit and Loss'!T8)</f>
        <v>8.3605054766642137</v>
      </c>
      <c r="W9" s="21">
        <f ca="1">('Cash Flow'!U7+'Profit and Loss'!U8)/('Profit and Loss'!U8)</f>
        <v>8.3785553695288666</v>
      </c>
      <c r="X9" s="21">
        <f ca="1">('Cash Flow'!V7+'Profit and Loss'!V8)/('Profit and Loss'!V8)</f>
        <v>8.3313452256432665</v>
      </c>
      <c r="Y9" s="21">
        <f ca="1">('Cash Flow'!W7+'Profit and Loss'!W8)/('Profit and Loss'!W8)</f>
        <v>8.2779606618995754</v>
      </c>
      <c r="Z9" s="21">
        <f ca="1">('Cash Flow'!X7+'Profit and Loss'!X8)/('Profit and Loss'!X8)</f>
        <v>8.2204214166109217</v>
      </c>
      <c r="AA9" s="21">
        <f ca="1">('Cash Flow'!Y7+'Profit and Loss'!Y8)/('Profit and Loss'!Y8)</f>
        <v>8.1606220705339556</v>
      </c>
      <c r="AB9" s="21">
        <f ca="1">('Cash Flow'!Z7+'Profit and Loss'!Z8)/('Profit and Loss'!Z8)</f>
        <v>8.1003141407458408</v>
      </c>
      <c r="AC9" s="21">
        <f ca="1">('Cash Flow'!AA7+'Profit and Loss'!AA8)/('Profit and Loss'!AA8)</f>
        <v>8.0410984621654311</v>
      </c>
      <c r="AD9" s="21">
        <f ca="1">('Cash Flow'!AB7+'Profit and Loss'!AB8)/('Profit and Loss'!AB8)</f>
        <v>7.9844260247598013</v>
      </c>
      <c r="AE9" s="21">
        <f ca="1">('Cash Flow'!AC7+'Profit and Loss'!AC8)/('Profit and Loss'!AC8)</f>
        <v>7.8154614757358276</v>
      </c>
      <c r="AF9" s="21">
        <f ca="1">('Cash Flow'!AD7+'Profit and Loss'!AD8)/('Profit and Loss'!AD8)</f>
        <v>7.6297000314513737</v>
      </c>
      <c r="AG9" s="21">
        <f ca="1">('Cash Flow'!AE7+'Profit and Loss'!AE8)/('Profit and Loss'!AE8)</f>
        <v>7.4307811920365952</v>
      </c>
      <c r="AH9" s="21">
        <f ca="1">('Cash Flow'!AF7+'Profit and Loss'!AF8)/('Profit and Loss'!AF8)</f>
        <v>7.2221715292327833</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1561500.6416901259</v>
      </c>
      <c r="D5" s="1">
        <f>Assumptions!E111</f>
        <v>1561500.6416901259</v>
      </c>
      <c r="E5" s="1">
        <f>Assumptions!F111</f>
        <v>1561500.6416901259</v>
      </c>
      <c r="F5" s="1">
        <f>Assumptions!G111</f>
        <v>1561500.6416901259</v>
      </c>
      <c r="G5" s="1">
        <f>Assumptions!H111</f>
        <v>1561500.6416901259</v>
      </c>
      <c r="H5" s="1">
        <f>Assumptions!I111</f>
        <v>1561500.6416901259</v>
      </c>
      <c r="I5" s="1">
        <f>Assumptions!J111</f>
        <v>1561500.6416901259</v>
      </c>
      <c r="J5" s="1">
        <f>Assumptions!K111</f>
        <v>1561500.6416901259</v>
      </c>
      <c r="K5" s="1">
        <f>Assumptions!L111</f>
        <v>1561500.6416901259</v>
      </c>
      <c r="L5" s="1">
        <f>Assumptions!M111</f>
        <v>1561500.6416901259</v>
      </c>
      <c r="M5" s="1">
        <f>Assumptions!N111</f>
        <v>1561500.6416901259</v>
      </c>
      <c r="N5" s="1">
        <f>Assumptions!O111</f>
        <v>1561500.6416901259</v>
      </c>
      <c r="O5" s="1">
        <f>Assumptions!P111</f>
        <v>1561500.6416901259</v>
      </c>
      <c r="P5" s="1">
        <f>Assumptions!Q111</f>
        <v>1561500.6416901259</v>
      </c>
      <c r="Q5" s="1">
        <f>Assumptions!R111</f>
        <v>1561500.6416901259</v>
      </c>
      <c r="R5" s="1">
        <f>Assumptions!S111</f>
        <v>1561500.6416901259</v>
      </c>
      <c r="S5" s="1">
        <f>Assumptions!T111</f>
        <v>1561500.6416901259</v>
      </c>
      <c r="T5" s="1">
        <f>Assumptions!U111</f>
        <v>1561500.6416901259</v>
      </c>
      <c r="U5" s="1">
        <f>Assumptions!V111</f>
        <v>1561500.6416901259</v>
      </c>
      <c r="V5" s="1">
        <f>Assumptions!W111</f>
        <v>1561500.6416901259</v>
      </c>
      <c r="W5" s="1">
        <f>Assumptions!X111</f>
        <v>1561500.6416901259</v>
      </c>
      <c r="X5" s="1">
        <f>Assumptions!Y111</f>
        <v>1561500.6416901259</v>
      </c>
      <c r="Y5" s="1">
        <f>Assumptions!Z111</f>
        <v>1561500.6416901259</v>
      </c>
      <c r="Z5" s="1">
        <f>Assumptions!AA111</f>
        <v>1561500.6416901259</v>
      </c>
      <c r="AA5" s="1">
        <f>Assumptions!AB111</f>
        <v>1561500.6416901259</v>
      </c>
      <c r="AB5" s="1">
        <f>Assumptions!AC111</f>
        <v>1561500.6416901259</v>
      </c>
      <c r="AC5" s="1">
        <f>Assumptions!AD111</f>
        <v>1561500.6416901259</v>
      </c>
      <c r="AD5" s="1">
        <f>Assumptions!AE111</f>
        <v>1561500.6416901259</v>
      </c>
      <c r="AE5" s="1">
        <f>Assumptions!AF111</f>
        <v>1561500.6416901259</v>
      </c>
      <c r="AF5" s="1">
        <f>Assumptions!AG111</f>
        <v>1561500.6416901259</v>
      </c>
    </row>
    <row r="6" spans="1:32" x14ac:dyDescent="0.35">
      <c r="A6" t="s">
        <v>68</v>
      </c>
      <c r="C6" s="1">
        <f>Assumptions!D113</f>
        <v>8278666.666666667</v>
      </c>
      <c r="D6" s="1">
        <f>Assumptions!E113</f>
        <v>8278666.666666667</v>
      </c>
      <c r="E6" s="1">
        <f>Assumptions!F113</f>
        <v>8278666.666666667</v>
      </c>
      <c r="F6" s="1">
        <f>Assumptions!G113</f>
        <v>8278666.666666667</v>
      </c>
      <c r="G6" s="1">
        <f>Assumptions!H113</f>
        <v>8278666.666666667</v>
      </c>
      <c r="H6" s="1">
        <f>Assumptions!I113</f>
        <v>8278666.666666667</v>
      </c>
      <c r="I6" s="1">
        <f>Assumptions!J113</f>
        <v>8278666.666666667</v>
      </c>
      <c r="J6" s="1">
        <f>Assumptions!K113</f>
        <v>8278666.666666667</v>
      </c>
      <c r="K6" s="1">
        <f>Assumptions!L113</f>
        <v>8278666.666666667</v>
      </c>
      <c r="L6" s="1">
        <f>Assumptions!M113</f>
        <v>8278666.666666667</v>
      </c>
      <c r="M6" s="1">
        <f>Assumptions!N113</f>
        <v>8278666.666666667</v>
      </c>
      <c r="N6" s="1">
        <f>Assumptions!O113</f>
        <v>8278666.666666667</v>
      </c>
      <c r="O6" s="1">
        <f>Assumptions!P113</f>
        <v>8278666.666666667</v>
      </c>
      <c r="P6" s="1">
        <f>Assumptions!Q113</f>
        <v>8278666.666666667</v>
      </c>
      <c r="Q6" s="1">
        <f>Assumptions!R113</f>
        <v>8278666.666666667</v>
      </c>
      <c r="R6" s="1">
        <f>Assumptions!S113</f>
        <v>8278666.666666667</v>
      </c>
      <c r="S6" s="1">
        <f>Assumptions!T113</f>
        <v>8278666.666666667</v>
      </c>
      <c r="T6" s="1">
        <f>Assumptions!U113</f>
        <v>8278666.666666667</v>
      </c>
      <c r="U6" s="1">
        <f>Assumptions!V113</f>
        <v>8278666.666666667</v>
      </c>
      <c r="V6" s="1">
        <f>Assumptions!W113</f>
        <v>8278666.666666667</v>
      </c>
      <c r="W6" s="1">
        <f>Assumptions!X113</f>
        <v>8278666.666666667</v>
      </c>
      <c r="X6" s="1">
        <f>Assumptions!Y113</f>
        <v>8278666.666666667</v>
      </c>
      <c r="Y6" s="1">
        <f>Assumptions!Z113</f>
        <v>8278666.666666667</v>
      </c>
      <c r="Z6" s="1">
        <f>Assumptions!AA113</f>
        <v>8278666.666666667</v>
      </c>
      <c r="AA6" s="1">
        <f>Assumptions!AB113</f>
        <v>8278666.666666667</v>
      </c>
      <c r="AB6" s="1">
        <f>Assumptions!AC113</f>
        <v>8278666.666666667</v>
      </c>
      <c r="AC6" s="1">
        <f>Assumptions!AD113</f>
        <v>8278666.666666667</v>
      </c>
      <c r="AD6" s="1">
        <f>Assumptions!AE113</f>
        <v>8278666.666666667</v>
      </c>
      <c r="AE6" s="1">
        <f>Assumptions!AF113</f>
        <v>8278666.666666667</v>
      </c>
      <c r="AF6" s="1">
        <f>Assumptions!AG113</f>
        <v>8278666.666666667</v>
      </c>
    </row>
    <row r="7" spans="1:32" x14ac:dyDescent="0.35">
      <c r="A7" t="s">
        <v>73</v>
      </c>
      <c r="C7" s="1">
        <f>Assumptions!D120</f>
        <v>198688</v>
      </c>
      <c r="D7" s="1">
        <f>Assumptions!E120</f>
        <v>397376</v>
      </c>
      <c r="E7" s="1">
        <f>Assumptions!F120</f>
        <v>596064</v>
      </c>
      <c r="F7" s="1">
        <f>Assumptions!G120</f>
        <v>794752</v>
      </c>
      <c r="G7" s="1">
        <f>Assumptions!H120</f>
        <v>993440</v>
      </c>
      <c r="H7" s="1">
        <f>Assumptions!I120</f>
        <v>1192128</v>
      </c>
      <c r="I7" s="1">
        <f>Assumptions!J120</f>
        <v>1390816</v>
      </c>
      <c r="J7" s="1">
        <f>Assumptions!K120</f>
        <v>1589503.9999999998</v>
      </c>
      <c r="K7" s="1">
        <f>Assumptions!L120</f>
        <v>1788192</v>
      </c>
      <c r="L7" s="1">
        <f>Assumptions!M120</f>
        <v>1986880</v>
      </c>
      <c r="M7" s="1">
        <f>Assumptions!N120</f>
        <v>2185568.0000000005</v>
      </c>
      <c r="N7" s="1">
        <f>Assumptions!O120</f>
        <v>2384256.0000000005</v>
      </c>
      <c r="O7" s="1">
        <f>Assumptions!P120</f>
        <v>2582944.0000000005</v>
      </c>
      <c r="P7" s="1">
        <f>Assumptions!Q120</f>
        <v>2781632.0000000005</v>
      </c>
      <c r="Q7" s="1">
        <f>Assumptions!R120</f>
        <v>2980320.0000000005</v>
      </c>
      <c r="R7" s="1">
        <f>Assumptions!S120</f>
        <v>3179008.0000000009</v>
      </c>
      <c r="S7" s="1">
        <f>Assumptions!T120</f>
        <v>3377696.0000000005</v>
      </c>
      <c r="T7" s="1">
        <f>Assumptions!U120</f>
        <v>3576384.0000000005</v>
      </c>
      <c r="U7" s="1">
        <f>Assumptions!V120</f>
        <v>3775072.0000000009</v>
      </c>
      <c r="V7" s="1">
        <f>Assumptions!W120</f>
        <v>3973760</v>
      </c>
      <c r="W7" s="1">
        <f>Assumptions!X120</f>
        <v>4172448</v>
      </c>
      <c r="X7" s="1">
        <f>Assumptions!Y120</f>
        <v>4371136</v>
      </c>
      <c r="Y7" s="1">
        <f>Assumptions!Z120</f>
        <v>4569823.9999999991</v>
      </c>
      <c r="Z7" s="1">
        <f>Assumptions!AA120</f>
        <v>4768511.9999999991</v>
      </c>
      <c r="AA7" s="1">
        <f>Assumptions!AB120</f>
        <v>4967199.9999999991</v>
      </c>
      <c r="AB7" s="1">
        <f>Assumptions!AC120</f>
        <v>5165887.9999999991</v>
      </c>
      <c r="AC7" s="1">
        <f>Assumptions!AD120</f>
        <v>5364575.9999999981</v>
      </c>
      <c r="AD7" s="1">
        <f>Assumptions!AE120</f>
        <v>5563263.9999999972</v>
      </c>
      <c r="AE7" s="1">
        <f>Assumptions!AF120</f>
        <v>5761951.9999999981</v>
      </c>
      <c r="AF7" s="1">
        <f>Assumptions!AG120</f>
        <v>5960639.9999999981</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1611468.6622242101</v>
      </c>
      <c r="D11" s="1">
        <f>D5*D$9</f>
        <v>1663035.6594153845</v>
      </c>
      <c r="E11" s="1">
        <f t="shared" ref="D11:AF13" si="1">E5*E$9</f>
        <v>1716252.8005166769</v>
      </c>
      <c r="F11" s="1">
        <f t="shared" si="1"/>
        <v>1771172.8901332105</v>
      </c>
      <c r="G11" s="1">
        <f t="shared" si="1"/>
        <v>1827850.4226174734</v>
      </c>
      <c r="H11" s="1">
        <f t="shared" si="1"/>
        <v>1886341.6361412322</v>
      </c>
      <c r="I11" s="1">
        <f t="shared" si="1"/>
        <v>1946704.5684977516</v>
      </c>
      <c r="J11" s="1">
        <f t="shared" si="1"/>
        <v>2008999.1146896798</v>
      </c>
      <c r="K11" s="1">
        <f t="shared" si="1"/>
        <v>2073287.0863597498</v>
      </c>
      <c r="L11" s="1">
        <f t="shared" si="1"/>
        <v>2139632.2731232615</v>
      </c>
      <c r="M11" s="1">
        <f t="shared" si="1"/>
        <v>2208100.505863206</v>
      </c>
      <c r="N11" s="1">
        <f t="shared" si="1"/>
        <v>2278759.7220508284</v>
      </c>
      <c r="O11" s="1">
        <f t="shared" si="1"/>
        <v>2351680.033156455</v>
      </c>
      <c r="P11" s="1">
        <f t="shared" si="1"/>
        <v>2426933.7942174613</v>
      </c>
      <c r="Q11" s="1">
        <f t="shared" si="1"/>
        <v>2504595.6756324195</v>
      </c>
      <c r="R11" s="1">
        <f t="shared" si="1"/>
        <v>2584742.7372526578</v>
      </c>
      <c r="S11" s="1">
        <f t="shared" si="1"/>
        <v>2667454.5048447428</v>
      </c>
      <c r="T11" s="1">
        <f t="shared" si="1"/>
        <v>2752813.0489997743</v>
      </c>
      <c r="U11" s="1">
        <f t="shared" si="1"/>
        <v>2840903.0665677669</v>
      </c>
      <c r="V11" s="1">
        <f t="shared" si="1"/>
        <v>2931811.9646979356</v>
      </c>
      <c r="W11" s="1">
        <f t="shared" si="1"/>
        <v>3025629.9475682699</v>
      </c>
      <c r="X11" s="1">
        <f t="shared" si="1"/>
        <v>3122450.1058904543</v>
      </c>
      <c r="Y11" s="1">
        <f t="shared" si="1"/>
        <v>3222368.5092789484</v>
      </c>
      <c r="Z11" s="1">
        <f t="shared" si="1"/>
        <v>3325484.3015758749</v>
      </c>
      <c r="AA11" s="1">
        <f t="shared" si="1"/>
        <v>3431899.7992263036</v>
      </c>
      <c r="AB11" s="1">
        <f t="shared" si="1"/>
        <v>3541720.5928015448</v>
      </c>
      <c r="AC11" s="1">
        <f t="shared" si="1"/>
        <v>3655055.6517711938</v>
      </c>
      <c r="AD11" s="1">
        <f t="shared" si="1"/>
        <v>3772017.4326278726</v>
      </c>
      <c r="AE11" s="1">
        <f t="shared" si="1"/>
        <v>3892721.9904719647</v>
      </c>
      <c r="AF11" s="1">
        <f t="shared" si="1"/>
        <v>4017289.0941670667</v>
      </c>
    </row>
    <row r="12" spans="1:32" x14ac:dyDescent="0.35">
      <c r="A12" t="s">
        <v>71</v>
      </c>
      <c r="C12" s="1">
        <f t="shared" ref="C12:R12" si="2">C6*C$9</f>
        <v>8543584</v>
      </c>
      <c r="D12" s="1">
        <f t="shared" si="2"/>
        <v>8816978.688000001</v>
      </c>
      <c r="E12" s="1">
        <f t="shared" si="2"/>
        <v>9099122.0060159992</v>
      </c>
      <c r="F12" s="1">
        <f t="shared" si="2"/>
        <v>9390293.9102085121</v>
      </c>
      <c r="G12" s="1">
        <f t="shared" si="2"/>
        <v>9690783.3153351843</v>
      </c>
      <c r="H12" s="1">
        <f t="shared" si="2"/>
        <v>10000888.38142591</v>
      </c>
      <c r="I12" s="1">
        <f t="shared" si="2"/>
        <v>10320916.809631538</v>
      </c>
      <c r="J12" s="1">
        <f t="shared" si="2"/>
        <v>10651186.147539748</v>
      </c>
      <c r="K12" s="1">
        <f t="shared" si="2"/>
        <v>10992024.10426102</v>
      </c>
      <c r="L12" s="1">
        <f t="shared" si="2"/>
        <v>11343768.875597373</v>
      </c>
      <c r="M12" s="1">
        <f t="shared" si="2"/>
        <v>11706769.479616487</v>
      </c>
      <c r="N12" s="1">
        <f t="shared" si="2"/>
        <v>12081386.102964217</v>
      </c>
      <c r="O12" s="1">
        <f t="shared" si="2"/>
        <v>12467990.458259072</v>
      </c>
      <c r="P12" s="1">
        <f t="shared" si="2"/>
        <v>12866966.15292336</v>
      </c>
      <c r="Q12" s="1">
        <f t="shared" si="2"/>
        <v>13278709.069816906</v>
      </c>
      <c r="R12" s="1">
        <f t="shared" si="2"/>
        <v>13703627.760051049</v>
      </c>
      <c r="S12" s="1">
        <f t="shared" si="1"/>
        <v>14142143.848372685</v>
      </c>
      <c r="T12" s="1">
        <f t="shared" si="1"/>
        <v>14594692.451520609</v>
      </c>
      <c r="U12" s="1">
        <f t="shared" si="1"/>
        <v>15061722.609969266</v>
      </c>
      <c r="V12" s="1">
        <f t="shared" si="1"/>
        <v>15543697.733488284</v>
      </c>
      <c r="W12" s="1">
        <f t="shared" si="1"/>
        <v>16041096.060959911</v>
      </c>
      <c r="X12" s="1">
        <f t="shared" si="1"/>
        <v>16554411.134910626</v>
      </c>
      <c r="Y12" s="1">
        <f t="shared" si="1"/>
        <v>17084152.291227765</v>
      </c>
      <c r="Z12" s="1">
        <f t="shared" si="1"/>
        <v>17630845.164547052</v>
      </c>
      <c r="AA12" s="1">
        <f t="shared" si="1"/>
        <v>18195032.209812563</v>
      </c>
      <c r="AB12" s="1">
        <f t="shared" si="1"/>
        <v>18777273.240526561</v>
      </c>
      <c r="AC12" s="1">
        <f t="shared" si="1"/>
        <v>19378145.98422341</v>
      </c>
      <c r="AD12" s="1">
        <f t="shared" si="1"/>
        <v>19998246.655718561</v>
      </c>
      <c r="AE12" s="1">
        <f t="shared" si="1"/>
        <v>20638190.548701555</v>
      </c>
      <c r="AF12" s="1">
        <f t="shared" si="1"/>
        <v>21298612.646260001</v>
      </c>
    </row>
    <row r="13" spans="1:32" x14ac:dyDescent="0.35">
      <c r="A13" t="s">
        <v>74</v>
      </c>
      <c r="C13" s="1">
        <f>C7*C$9</f>
        <v>205046.016</v>
      </c>
      <c r="D13" s="1">
        <f t="shared" si="1"/>
        <v>423214.97702399996</v>
      </c>
      <c r="E13" s="1">
        <f t="shared" si="1"/>
        <v>655136.78443315194</v>
      </c>
      <c r="F13" s="1">
        <f t="shared" si="1"/>
        <v>901468.21538001706</v>
      </c>
      <c r="G13" s="1">
        <f t="shared" si="1"/>
        <v>1162893.9978402222</v>
      </c>
      <c r="H13" s="1">
        <f t="shared" si="1"/>
        <v>1440127.9269253309</v>
      </c>
      <c r="I13" s="1">
        <f t="shared" si="1"/>
        <v>1733914.0240180981</v>
      </c>
      <c r="J13" s="1">
        <f t="shared" si="1"/>
        <v>2045027.7403276314</v>
      </c>
      <c r="K13" s="1">
        <f t="shared" si="1"/>
        <v>2374277.2065203805</v>
      </c>
      <c r="L13" s="1">
        <f t="shared" si="1"/>
        <v>2722504.5301433695</v>
      </c>
      <c r="M13" s="1">
        <f t="shared" si="1"/>
        <v>3090587.1426187535</v>
      </c>
      <c r="N13" s="1">
        <f t="shared" si="1"/>
        <v>3479439.197653695</v>
      </c>
      <c r="O13" s="1">
        <f t="shared" si="1"/>
        <v>3890013.0229768311</v>
      </c>
      <c r="P13" s="1">
        <f t="shared" si="1"/>
        <v>4323300.6273822496</v>
      </c>
      <c r="Q13" s="1">
        <f t="shared" si="1"/>
        <v>4780335.2651340868</v>
      </c>
      <c r="R13" s="1">
        <f t="shared" si="1"/>
        <v>5262193.0598596046</v>
      </c>
      <c r="S13" s="1">
        <f t="shared" si="1"/>
        <v>5769994.6901360555</v>
      </c>
      <c r="T13" s="1">
        <f t="shared" si="1"/>
        <v>6304907.1390569033</v>
      </c>
      <c r="U13" s="1">
        <f t="shared" si="1"/>
        <v>6868145.5101459865</v>
      </c>
      <c r="V13" s="1">
        <f t="shared" si="1"/>
        <v>7460974.9120743759</v>
      </c>
      <c r="W13" s="1">
        <f t="shared" si="1"/>
        <v>8084712.4147237949</v>
      </c>
      <c r="X13" s="1">
        <f t="shared" si="1"/>
        <v>8740729.0792328101</v>
      </c>
      <c r="Y13" s="1">
        <f t="shared" si="1"/>
        <v>9430452.0647577234</v>
      </c>
      <c r="Z13" s="1">
        <f t="shared" si="1"/>
        <v>10155366.814779101</v>
      </c>
      <c r="AA13" s="1">
        <f t="shared" si="1"/>
        <v>10917019.325887535</v>
      </c>
      <c r="AB13" s="1">
        <f t="shared" si="1"/>
        <v>11717018.502088573</v>
      </c>
      <c r="AC13" s="1">
        <f t="shared" si="1"/>
        <v>12557038.597776765</v>
      </c>
      <c r="AD13" s="1">
        <f t="shared" si="1"/>
        <v>13438821.752642866</v>
      </c>
      <c r="AE13" s="1">
        <f t="shared" si="1"/>
        <v>14364180.621896278</v>
      </c>
      <c r="AF13" s="1">
        <f t="shared" si="1"/>
        <v>15335001.105307195</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10360098.678224212</v>
      </c>
      <c r="D25" s="40">
        <f>SUM(D11:D13,D18:D23)</f>
        <v>10903229.324439386</v>
      </c>
      <c r="E25" s="40">
        <f t="shared" ref="E25:AF25" si="7">SUM(E11:E13,E18:E23)</f>
        <v>11470511.590965828</v>
      </c>
      <c r="F25" s="40">
        <f t="shared" si="7"/>
        <v>12062935.015721738</v>
      </c>
      <c r="G25" s="40">
        <f t="shared" si="7"/>
        <v>12681527.735792879</v>
      </c>
      <c r="H25" s="40">
        <f t="shared" si="7"/>
        <v>13327357.944492474</v>
      </c>
      <c r="I25" s="40">
        <f t="shared" si="7"/>
        <v>14001535.402147386</v>
      </c>
      <c r="J25" s="40">
        <f t="shared" si="7"/>
        <v>14705213.00255706</v>
      </c>
      <c r="K25" s="40">
        <f t="shared" si="7"/>
        <v>15439588.397141151</v>
      </c>
      <c r="L25" s="40">
        <f t="shared" si="7"/>
        <v>16205905.678864002</v>
      </c>
      <c r="M25" s="40">
        <f t="shared" si="7"/>
        <v>17005457.128098447</v>
      </c>
      <c r="N25" s="40">
        <f t="shared" si="7"/>
        <v>17839585.022668742</v>
      </c>
      <c r="O25" s="40">
        <f t="shared" si="7"/>
        <v>18709683.514392357</v>
      </c>
      <c r="P25" s="40">
        <f t="shared" si="7"/>
        <v>19617200.574523073</v>
      </c>
      <c r="Q25" s="40">
        <f t="shared" si="7"/>
        <v>20563640.010583412</v>
      </c>
      <c r="R25" s="40">
        <f t="shared" si="7"/>
        <v>21550563.557163313</v>
      </c>
      <c r="S25" s="40">
        <f t="shared" si="7"/>
        <v>22579593.043353483</v>
      </c>
      <c r="T25" s="40">
        <f t="shared" si="7"/>
        <v>23652412.639577284</v>
      </c>
      <c r="U25" s="40">
        <f t="shared" si="7"/>
        <v>24770771.186683021</v>
      </c>
      <c r="V25" s="40">
        <f t="shared" si="7"/>
        <v>25936484.610260595</v>
      </c>
      <c r="W25" s="40">
        <f t="shared" si="7"/>
        <v>27151438.423251975</v>
      </c>
      <c r="X25" s="40">
        <f t="shared" si="7"/>
        <v>28417590.320033893</v>
      </c>
      <c r="Y25" s="40">
        <f t="shared" si="7"/>
        <v>29736972.865264438</v>
      </c>
      <c r="Z25" s="40">
        <f t="shared" si="7"/>
        <v>31111696.280902028</v>
      </c>
      <c r="AA25" s="40">
        <f t="shared" si="7"/>
        <v>32543951.3349264</v>
      </c>
      <c r="AB25" s="40">
        <f t="shared" si="7"/>
        <v>34036012.335416675</v>
      </c>
      <c r="AC25" s="40">
        <f t="shared" si="7"/>
        <v>35590240.233771369</v>
      </c>
      <c r="AD25" s="40">
        <f t="shared" si="7"/>
        <v>37209085.840989299</v>
      </c>
      <c r="AE25" s="40">
        <f t="shared" si="7"/>
        <v>38895093.161069795</v>
      </c>
      <c r="AF25" s="40">
        <f t="shared" si="7"/>
        <v>40650902.845734268</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115" zoomScaleNormal="115"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5921203.1596959252</v>
      </c>
      <c r="D5" s="59">
        <f>C5*('Price and Financial ratios'!F4+1)*(1+Assumptions!$C$13)</f>
        <v>6933509.4041738808</v>
      </c>
      <c r="E5" s="59">
        <f>D5*('Price and Financial ratios'!G4+1)*(1+Assumptions!$C$13)</f>
        <v>8118882.4908072222</v>
      </c>
      <c r="F5" s="59">
        <f>E5*('Price and Financial ratios'!H4+1)*(1+Assumptions!$C$13)</f>
        <v>9506910.4341093656</v>
      </c>
      <c r="G5" s="59">
        <f>F5*('Price and Financial ratios'!I4+1)*(1+Assumptions!$C$13)</f>
        <v>11132239.702263672</v>
      </c>
      <c r="H5" s="59">
        <f>G5*('Price and Financial ratios'!J4+1)*(1+Assumptions!$C$13)</f>
        <v>13035440.025186835</v>
      </c>
      <c r="I5" s="59">
        <f>H5*('Price and Financial ratios'!K4+1)*(1+Assumptions!$C$13)</f>
        <v>14600364.137377791</v>
      </c>
      <c r="J5" s="59">
        <f>I5*('Price and Financial ratios'!L4+1)*(1+Assumptions!$C$13)</f>
        <v>16055829.557708874</v>
      </c>
      <c r="K5" s="59">
        <f>J5*('Price and Financial ratios'!M4+1)*(1+Assumptions!$C$13)</f>
        <v>17656385.851791274</v>
      </c>
      <c r="L5" s="59">
        <f>K5*('Price and Financial ratios'!N4+1)*(1+Assumptions!$C$13)</f>
        <v>19416496.682829801</v>
      </c>
      <c r="M5" s="59">
        <f>L5*('Price and Financial ratios'!O4+1)*(1+Assumptions!$C$13)</f>
        <v>21352067.552153848</v>
      </c>
      <c r="N5" s="59">
        <f>M5*('Price and Financial ratios'!P4+1)*(1+Assumptions!$C$13)</f>
        <v>22828350.933527119</v>
      </c>
      <c r="O5" s="59">
        <f>N5*('Price and Financial ratios'!Q4+1)*(1+Assumptions!$C$13)</f>
        <v>24174259.8406552</v>
      </c>
      <c r="P5" s="59">
        <f>O5*('Price and Financial ratios'!R4+1)*(1+Assumptions!$C$13)</f>
        <v>25599520.549915705</v>
      </c>
      <c r="Q5" s="59">
        <f>P5*('Price and Financial ratios'!S4+1)*(1+Assumptions!$C$13)</f>
        <v>27108811.467453588</v>
      </c>
      <c r="R5" s="59">
        <f>Q5*('Price and Financial ratios'!T4+1)*(1+Assumptions!$C$13)</f>
        <v>28707086.827857137</v>
      </c>
      <c r="S5" s="59">
        <f>R5*('Price and Financial ratios'!U4+1)*(1+Assumptions!$C$13)</f>
        <v>30399592.956390817</v>
      </c>
      <c r="T5" s="59">
        <f>S5*('Price and Financial ratios'!V4+1)*(1+Assumptions!$C$13)</f>
        <v>32191885.490013301</v>
      </c>
      <c r="U5" s="59">
        <f>T5*('Price and Financial ratios'!W4+1)*(1+Assumptions!$C$13)</f>
        <v>33925954.115565658</v>
      </c>
      <c r="V5" s="59">
        <f>U5*('Price and Financial ratios'!X4+1)*(1+Assumptions!$C$13)</f>
        <v>35580709.297346599</v>
      </c>
      <c r="W5" s="59">
        <f>V5*('Price and Financial ratios'!Y4+1)*(1+Assumptions!$C$13)</f>
        <v>37316175.981073909</v>
      </c>
      <c r="X5" s="59">
        <f>W5*('Price and Financial ratios'!Z4+1)*(1+Assumptions!$C$13)</f>
        <v>39136290.910151176</v>
      </c>
      <c r="Y5" s="59">
        <f>X5*('Price and Financial ratios'!AA4+1)*(1+Assumptions!$C$13)</f>
        <v>41045182.844587468</v>
      </c>
      <c r="Z5" s="59">
        <f>Y5*('Price and Financial ratios'!AB4+1)*(1+Assumptions!$C$13)</f>
        <v>43047181.926702149</v>
      </c>
      <c r="AA5" s="59">
        <f>Z5*('Price and Financial ratios'!AC4+1)*(1+Assumptions!$C$13)</f>
        <v>45146829.503646635</v>
      </c>
      <c r="AB5" s="59">
        <f>AA5*('Price and Financial ratios'!AD4+1)*(1+Assumptions!$C$13)</f>
        <v>47348888.429024465</v>
      </c>
      <c r="AC5" s="59">
        <f>AB5*('Price and Financial ratios'!AE4+1)*(1+Assumptions!$C$13)</f>
        <v>49272657.914613105</v>
      </c>
      <c r="AD5" s="59">
        <f>AC5*('Price and Financial ratios'!AF4+1)*(1+Assumptions!$C$13)</f>
        <v>51274589.510368906</v>
      </c>
      <c r="AE5" s="59">
        <f>AD5*('Price and Financial ratios'!AG4+1)*(1+Assumptions!$C$13)</f>
        <v>53357858.916661143</v>
      </c>
      <c r="AF5" s="59">
        <f>AE5*('Price and Financial ratios'!AH4+1)*(1+Assumptions!$C$13)</f>
        <v>55525770.861501947</v>
      </c>
    </row>
    <row r="6" spans="1:32" s="11" customFormat="1" x14ac:dyDescent="0.35">
      <c r="A6" s="11" t="s">
        <v>20</v>
      </c>
      <c r="C6" s="59">
        <f>C27</f>
        <v>1597672.2570766651</v>
      </c>
      <c r="D6" s="59">
        <f t="shared" ref="D6:AF6" si="1">D27</f>
        <v>1917264.5376036027</v>
      </c>
      <c r="E6" s="59">
        <f>E27</f>
        <v>2250612.0070535084</v>
      </c>
      <c r="F6" s="59">
        <f t="shared" si="1"/>
        <v>2598184.1608303967</v>
      </c>
      <c r="G6" s="59">
        <f t="shared" si="1"/>
        <v>2960465.2645468269</v>
      </c>
      <c r="H6" s="59">
        <f t="shared" si="1"/>
        <v>3337954.8079589885</v>
      </c>
      <c r="I6" s="59">
        <f t="shared" si="1"/>
        <v>3731167.9729971094</v>
      </c>
      <c r="J6" s="59">
        <f t="shared" si="1"/>
        <v>4140636.1163433194</v>
      </c>
      <c r="K6" s="59">
        <f t="shared" si="1"/>
        <v>4566907.2670242684</v>
      </c>
      <c r="L6" s="59">
        <f t="shared" si="1"/>
        <v>5010546.6395015037</v>
      </c>
      <c r="M6" s="59">
        <f t="shared" si="1"/>
        <v>5472137.1627588533</v>
      </c>
      <c r="N6" s="59">
        <f t="shared" si="1"/>
        <v>5952280.0259029251</v>
      </c>
      <c r="O6" s="59">
        <f t="shared" si="1"/>
        <v>6451595.2408102052</v>
      </c>
      <c r="P6" s="59">
        <f t="shared" si="1"/>
        <v>6970722.2223723605</v>
      </c>
      <c r="Q6" s="59">
        <f t="shared" si="1"/>
        <v>7510320.3869099356</v>
      </c>
      <c r="R6" s="59">
        <f t="shared" si="1"/>
        <v>8071069.7693440579</v>
      </c>
      <c r="S6" s="59">
        <f t="shared" si="1"/>
        <v>8653671.6597357783</v>
      </c>
      <c r="T6" s="59">
        <f t="shared" si="1"/>
        <v>9258849.25982338</v>
      </c>
      <c r="U6" s="59">
        <f t="shared" si="1"/>
        <v>9887348.3602095488</v>
      </c>
      <c r="V6" s="59">
        <f t="shared" si="1"/>
        <v>10539938.038872488</v>
      </c>
      <c r="W6" s="59">
        <f t="shared" si="1"/>
        <v>11217411.381698119</v>
      </c>
      <c r="X6" s="59">
        <f t="shared" si="1"/>
        <v>11920586.22575446</v>
      </c>
      <c r="Y6" s="59">
        <f t="shared" si="1"/>
        <v>12650305.926053874</v>
      </c>
      <c r="Z6" s="59">
        <f t="shared" si="1"/>
        <v>13407440.146574616</v>
      </c>
      <c r="AA6" s="59">
        <f t="shared" si="1"/>
        <v>14192885.676339567</v>
      </c>
      <c r="AB6" s="59">
        <f t="shared" si="1"/>
        <v>15007567.27137764</v>
      </c>
      <c r="AC6" s="59">
        <f t="shared" si="1"/>
        <v>15852438.523421671</v>
      </c>
      <c r="AD6" s="59">
        <f t="shared" si="1"/>
        <v>16728482.756226297</v>
      </c>
      <c r="AE6" s="59">
        <f t="shared" si="1"/>
        <v>17636713.950419791</v>
      </c>
      <c r="AF6" s="59">
        <f t="shared" si="1"/>
        <v>18578177.69783555</v>
      </c>
    </row>
    <row r="7" spans="1:32" x14ac:dyDescent="0.35">
      <c r="A7" t="s">
        <v>21</v>
      </c>
      <c r="C7" s="4">
        <f>Depreciation!C8+Depreciation!C9</f>
        <v>1816514.6782242102</v>
      </c>
      <c r="D7" s="4">
        <f>Depreciation!D8+Depreciation!D9</f>
        <v>2086250.6364393844</v>
      </c>
      <c r="E7" s="4">
        <f>Depreciation!E8+Depreciation!E9</f>
        <v>2371389.5849498287</v>
      </c>
      <c r="F7" s="4">
        <f>Depreciation!F8+Depreciation!F9</f>
        <v>2672641.1055132276</v>
      </c>
      <c r="G7" s="4">
        <f>Depreciation!G8+Depreciation!G9</f>
        <v>2990744.4204576956</v>
      </c>
      <c r="H7" s="4">
        <f>Depreciation!H8+Depreciation!H9</f>
        <v>3326469.5630665631</v>
      </c>
      <c r="I7" s="4">
        <f>Depreciation!I8+Depreciation!I9</f>
        <v>3680618.5925158495</v>
      </c>
      <c r="J7" s="4">
        <f>Depreciation!J8+Depreciation!J9</f>
        <v>4054026.8550173109</v>
      </c>
      <c r="K7" s="4">
        <f>Depreciation!K8+Depreciation!K9</f>
        <v>4447564.29288013</v>
      </c>
      <c r="L7" s="4">
        <f>Depreciation!L8+Depreciation!L9</f>
        <v>4862136.8032666314</v>
      </c>
      <c r="M7" s="4">
        <f>Depreciation!M8+Depreciation!M9</f>
        <v>5298687.6484819595</v>
      </c>
      <c r="N7" s="4">
        <f>Depreciation!N8+Depreciation!N9</f>
        <v>5758198.9197045229</v>
      </c>
      <c r="O7" s="4">
        <f>Depreciation!O8+Depreciation!O9</f>
        <v>6241693.0561332861</v>
      </c>
      <c r="P7" s="4">
        <f>Depreciation!P8+Depreciation!P9</f>
        <v>6750234.4215997104</v>
      </c>
      <c r="Q7" s="4">
        <f>Depreciation!Q8+Depreciation!Q9</f>
        <v>7284930.9407665059</v>
      </c>
      <c r="R7" s="4">
        <f>Depreciation!R8+Depreciation!R9</f>
        <v>7846935.7971122619</v>
      </c>
      <c r="S7" s="4">
        <f>Depreciation!S8+Depreciation!S9</f>
        <v>8437449.1949807983</v>
      </c>
      <c r="T7" s="4">
        <f>Depreciation!T8+Depreciation!T9</f>
        <v>9057720.1880566776</v>
      </c>
      <c r="U7" s="4">
        <f>Depreciation!U8+Depreciation!U9</f>
        <v>9709048.5767137539</v>
      </c>
      <c r="V7" s="4">
        <f>Depreciation!V8+Depreciation!V9</f>
        <v>10392786.876772311</v>
      </c>
      <c r="W7" s="4">
        <f>Depreciation!W8+Depreciation!W9</f>
        <v>11110342.362292064</v>
      </c>
      <c r="X7" s="4">
        <f>Depreciation!X8+Depreciation!X9</f>
        <v>11863179.185123265</v>
      </c>
      <c r="Y7" s="4">
        <f>Depreciation!Y8+Depreciation!Y9</f>
        <v>12652820.574036673</v>
      </c>
      <c r="Z7" s="4">
        <f>Depreciation!Z8+Depreciation!Z9</f>
        <v>13480851.116354976</v>
      </c>
      <c r="AA7" s="4">
        <f>Depreciation!AA8+Depreciation!AA9</f>
        <v>14348919.125113837</v>
      </c>
      <c r="AB7" s="4">
        <f>Depreciation!AB8+Depreciation!AB9</f>
        <v>15258739.094890118</v>
      </c>
      <c r="AC7" s="4">
        <f>Depreciation!AC8+Depreciation!AC9</f>
        <v>16212094.249547958</v>
      </c>
      <c r="AD7" s="4">
        <f>Depreciation!AD8+Depreciation!AD9</f>
        <v>17210839.185270738</v>
      </c>
      <c r="AE7" s="4">
        <f>Depreciation!AE8+Depreciation!AE9</f>
        <v>18256902.612368241</v>
      </c>
      <c r="AF7" s="4">
        <f>Depreciation!AF8+Depreciation!AF9</f>
        <v>19352290.19947426</v>
      </c>
    </row>
    <row r="8" spans="1:32" x14ac:dyDescent="0.35">
      <c r="A8" t="s">
        <v>6</v>
      </c>
      <c r="C8" s="4">
        <f ca="1">'Debt worksheet'!C8</f>
        <v>229424.73797530914</v>
      </c>
      <c r="D8" s="4">
        <f ca="1">'Debt worksheet'!D8</f>
        <v>451263.41347225691</v>
      </c>
      <c r="E8" s="4">
        <f ca="1">'Debt worksheet'!E8</f>
        <v>670820.57225355541</v>
      </c>
      <c r="F8" s="4">
        <f ca="1">'Debt worksheet'!F8</f>
        <v>882091.06553269678</v>
      </c>
      <c r="G8" s="4">
        <f ca="1">'Debt worksheet'!G8</f>
        <v>1077650.1875288684</v>
      </c>
      <c r="H8" s="4">
        <f ca="1">'Debt worksheet'!H8</f>
        <v>1248389.3606042801</v>
      </c>
      <c r="I8" s="4">
        <f ca="1">'Debt worksheet'!I8</f>
        <v>1407275.8900788757</v>
      </c>
      <c r="J8" s="4">
        <f ca="1">'Debt worksheet'!J8</f>
        <v>1559509.4038555215</v>
      </c>
      <c r="K8" s="4">
        <f ca="1">'Debt worksheet'!K8</f>
        <v>1701309.0645477891</v>
      </c>
      <c r="L8" s="4">
        <f ca="1">'Debt worksheet'!L8</f>
        <v>1828297.9396803509</v>
      </c>
      <c r="M8" s="4">
        <f ca="1">'Debt worksheet'!M8</f>
        <v>1935431.4772383128</v>
      </c>
      <c r="N8" s="4">
        <f ca="1">'Debt worksheet'!N8</f>
        <v>2040574.581621629</v>
      </c>
      <c r="O8" s="4">
        <f ca="1">'Debt worksheet'!O8</f>
        <v>2150383.6721562552</v>
      </c>
      <c r="P8" s="4">
        <f ca="1">'Debt worksheet'!P8</f>
        <v>2264225.648497975</v>
      </c>
      <c r="Q8" s="4">
        <f ca="1">'Debt worksheet'!Q8</f>
        <v>2381353.2238853541</v>
      </c>
      <c r="R8" s="4">
        <f ca="1">'Debt worksheet'!R8</f>
        <v>2500893.62832965</v>
      </c>
      <c r="S8" s="4">
        <f ca="1">'Debt worksheet'!S8</f>
        <v>2621836.4139524307</v>
      </c>
      <c r="T8" s="4">
        <f ca="1">'Debt worksheet'!T8</f>
        <v>2743020.2987367753</v>
      </c>
      <c r="U8" s="4">
        <f ca="1">'Debt worksheet'!U8</f>
        <v>2869063.3044903805</v>
      </c>
      <c r="V8" s="4">
        <f ca="1">'Debt worksheet'!V8</f>
        <v>3005609.608085914</v>
      </c>
      <c r="W8" s="4">
        <f ca="1">'Debt worksheet'!W8</f>
        <v>3152801.2351518967</v>
      </c>
      <c r="X8" s="4">
        <f ca="1">'Debt worksheet'!X8</f>
        <v>3310743.2460095314</v>
      </c>
      <c r="Y8" s="4">
        <f ca="1">'Debt worksheet'!Y8</f>
        <v>3479499.0716529647</v>
      </c>
      <c r="Z8" s="4">
        <f ca="1">'Debt worksheet'!Z8</f>
        <v>3659085.4706529239</v>
      </c>
      <c r="AA8" s="4">
        <f ca="1">'Debt worksheet'!AA8</f>
        <v>3849467.0812638346</v>
      </c>
      <c r="AB8" s="4">
        <f ca="1">'Debt worksheet'!AB8</f>
        <v>4050550.5414360408</v>
      </c>
      <c r="AC8" s="4">
        <f ca="1">'Debt worksheet'!AC8</f>
        <v>4276167.1201309208</v>
      </c>
      <c r="AD8" s="4">
        <f ca="1">'Debt worksheet'!AD8</f>
        <v>4527845.9981042026</v>
      </c>
      <c r="AE8" s="4">
        <f ca="1">'Debt worksheet'!AE8</f>
        <v>4807185.6838582354</v>
      </c>
      <c r="AF8" s="4">
        <f ca="1">'Debt worksheet'!AF8</f>
        <v>5115856.5002389755</v>
      </c>
    </row>
    <row r="9" spans="1:32" x14ac:dyDescent="0.35">
      <c r="A9" t="s">
        <v>22</v>
      </c>
      <c r="C9" s="4">
        <f ca="1">C5-C6-C7-C8</f>
        <v>2277591.4864197411</v>
      </c>
      <c r="D9" s="4">
        <f t="shared" ref="D9:AF9" ca="1" si="2">D5-D6-D7-D8</f>
        <v>2478730.8166586366</v>
      </c>
      <c r="E9" s="4">
        <f t="shared" ca="1" si="2"/>
        <v>2826060.3265503296</v>
      </c>
      <c r="F9" s="4">
        <f t="shared" ca="1" si="2"/>
        <v>3353994.1022330434</v>
      </c>
      <c r="G9" s="4">
        <f t="shared" ca="1" si="2"/>
        <v>4103379.8297302816</v>
      </c>
      <c r="H9" s="4">
        <f t="shared" ca="1" si="2"/>
        <v>5122626.2935570031</v>
      </c>
      <c r="I9" s="4">
        <f t="shared" ca="1" si="2"/>
        <v>5781301.681785956</v>
      </c>
      <c r="J9" s="4">
        <f t="shared" ca="1" si="2"/>
        <v>6301657.1824927228</v>
      </c>
      <c r="K9" s="4">
        <f t="shared" ca="1" si="2"/>
        <v>6940605.227339088</v>
      </c>
      <c r="L9" s="4">
        <f t="shared" ca="1" si="2"/>
        <v>7715515.300381314</v>
      </c>
      <c r="M9" s="4">
        <f t="shared" ca="1" si="2"/>
        <v>8645811.263674723</v>
      </c>
      <c r="N9" s="4">
        <f t="shared" ca="1" si="2"/>
        <v>9077297.4062980413</v>
      </c>
      <c r="O9" s="4">
        <f t="shared" ca="1" si="2"/>
        <v>9330587.871555455</v>
      </c>
      <c r="P9" s="4">
        <f t="shared" ca="1" si="2"/>
        <v>9614338.2574456595</v>
      </c>
      <c r="Q9" s="4">
        <f t="shared" ca="1" si="2"/>
        <v>9932206.9158917926</v>
      </c>
      <c r="R9" s="4">
        <f t="shared" ca="1" si="2"/>
        <v>10288187.633071167</v>
      </c>
      <c r="S9" s="4">
        <f t="shared" ca="1" si="2"/>
        <v>10686635.687721808</v>
      </c>
      <c r="T9" s="4">
        <f t="shared" ca="1" si="2"/>
        <v>11132295.743396467</v>
      </c>
      <c r="U9" s="4">
        <f t="shared" ca="1" si="2"/>
        <v>11460493.874151977</v>
      </c>
      <c r="V9" s="4">
        <f t="shared" ca="1" si="2"/>
        <v>11642374.773615887</v>
      </c>
      <c r="W9" s="4">
        <f t="shared" ca="1" si="2"/>
        <v>11835621.001931831</v>
      </c>
      <c r="X9" s="4">
        <f t="shared" ca="1" si="2"/>
        <v>12041782.253263917</v>
      </c>
      <c r="Y9" s="4">
        <f t="shared" ca="1" si="2"/>
        <v>12262557.272843957</v>
      </c>
      <c r="Z9" s="4">
        <f t="shared" ca="1" si="2"/>
        <v>12499805.193119634</v>
      </c>
      <c r="AA9" s="4">
        <f t="shared" ca="1" si="2"/>
        <v>12755557.620929396</v>
      </c>
      <c r="AB9" s="4">
        <f t="shared" ca="1" si="2"/>
        <v>13032031.521320669</v>
      </c>
      <c r="AC9" s="4">
        <f t="shared" ca="1" si="2"/>
        <v>12931958.021512555</v>
      </c>
      <c r="AD9" s="4">
        <f t="shared" ca="1" si="2"/>
        <v>12807421.570767671</v>
      </c>
      <c r="AE9" s="4">
        <f t="shared" ca="1" si="2"/>
        <v>12657056.670014877</v>
      </c>
      <c r="AF9" s="4">
        <f t="shared" ca="1" si="2"/>
        <v>12479446.463953162</v>
      </c>
    </row>
    <row r="12" spans="1:32" x14ac:dyDescent="0.35">
      <c r="A12" t="s">
        <v>79</v>
      </c>
      <c r="C12" s="2">
        <f>Assumptions!$C$25*Assumptions!D9*Assumptions!D13</f>
        <v>1343848.3370766651</v>
      </c>
      <c r="D12" s="2">
        <f>Assumptions!$C$25*Assumptions!E9*Assumptions!E13</f>
        <v>1398448.4451236026</v>
      </c>
      <c r="E12" s="2">
        <f>Assumptions!$C$25*Assumptions!F9*Assumptions!F13</f>
        <v>1455266.9372816684</v>
      </c>
      <c r="F12" s="2">
        <f>Assumptions!$C$25*Assumptions!G9*Assumptions!G13</f>
        <v>1514393.9457546361</v>
      </c>
      <c r="G12" s="2">
        <f>Assumptions!$C$25*Assumptions!H9*Assumptions!H13</f>
        <v>1575923.2647875426</v>
      </c>
      <c r="H12" s="2">
        <f>Assumptions!$C$25*Assumptions!I9*Assumptions!I13</f>
        <v>1639952.4994542026</v>
      </c>
      <c r="I12" s="2">
        <f>Assumptions!$C$25*Assumptions!J9*Assumptions!J13</f>
        <v>1706583.2204899027</v>
      </c>
      <c r="J12" s="2">
        <f>Assumptions!$C$25*Assumptions!K9*Assumptions!K13</f>
        <v>1775921.1254149021</v>
      </c>
      <c r="K12" s="2">
        <f>Assumptions!$C$25*Assumptions!L9*Assumptions!L13</f>
        <v>1848076.2062043203</v>
      </c>
      <c r="L12" s="2">
        <f>Assumptions!$C$25*Assumptions!M9*Assumptions!M13</f>
        <v>1923162.923770407</v>
      </c>
      <c r="M12" s="2">
        <f>Assumptions!$C$25*Assumptions!N9*Assumptions!N13</f>
        <v>2001300.3895339547</v>
      </c>
      <c r="N12" s="2">
        <f>Assumptions!$C$25*Assumptions!O9*Assumptions!O13</f>
        <v>2082612.554372909</v>
      </c>
      <c r="O12" s="2">
        <f>Assumptions!$C$25*Assumptions!P9*Assumptions!P13</f>
        <v>2167228.4052478895</v>
      </c>
      <c r="P12" s="2">
        <f>Assumptions!$C$25*Assumptions!Q9*Assumptions!Q13</f>
        <v>2255282.1698165447</v>
      </c>
      <c r="Q12" s="2">
        <f>Assumptions!$C$25*Assumptions!R9*Assumptions!R13</f>
        <v>2346913.5293613155</v>
      </c>
      <c r="R12" s="2">
        <f>Assumptions!$C$25*Assumptions!S9*Assumptions!S13</f>
        <v>2442267.8403683905</v>
      </c>
      <c r="S12" s="2">
        <f>Assumptions!$C$25*Assumptions!T9*Assumptions!T13</f>
        <v>2541496.3651093245</v>
      </c>
      <c r="T12" s="2">
        <f>Assumptions!$C$25*Assumptions!U9*Assumptions!U13</f>
        <v>2644756.5115911304</v>
      </c>
      <c r="U12" s="2">
        <f>Assumptions!$C$25*Assumptions!V9*Assumptions!V13</f>
        <v>2752212.0832554498</v>
      </c>
      <c r="V12" s="2">
        <f>Assumptions!$C$25*Assumptions!W9*Assumptions!W13</f>
        <v>2864033.5388229187</v>
      </c>
      <c r="W12" s="2">
        <f>Assumptions!$C$25*Assumptions!X9*Assumptions!X13</f>
        <v>2980398.2626949269</v>
      </c>
      <c r="X12" s="2">
        <f>Assumptions!$C$25*Assumptions!Y9*Assumptions!Y13</f>
        <v>3101490.8463417119</v>
      </c>
      <c r="Y12" s="2">
        <f>Assumptions!$C$25*Assumptions!Z9*Assumptions!Z13</f>
        <v>3227503.3811231446</v>
      </c>
      <c r="Z12" s="2">
        <f>Assumptions!$C$25*Assumptions!AA9*Assumptions!AA13</f>
        <v>3358635.7630067477</v>
      </c>
      <c r="AA12" s="2">
        <f>Assumptions!$C$25*Assumptions!AB9*Assumptions!AB13</f>
        <v>3495096.0096662743</v>
      </c>
      <c r="AB12" s="2">
        <f>Assumptions!$C$25*Assumptions!AC9*Assumptions!AC13</f>
        <v>3637100.5904639307</v>
      </c>
      <c r="AC12" s="2">
        <f>Assumptions!$C$25*Assumptions!AD9*Assumptions!AD13</f>
        <v>3784874.7698396365</v>
      </c>
      <c r="AD12" s="2">
        <f>Assumptions!$C$25*Assumptions!AE9*Assumptions!AE13</f>
        <v>3938652.9646520941</v>
      </c>
      <c r="AE12" s="2">
        <f>Assumptions!$C$25*Assumptions!AF9*Assumptions!AF13</f>
        <v>4098679.1160384966</v>
      </c>
      <c r="AF12" s="2">
        <f>Assumptions!$C$25*Assumptions!AG9*Assumptions!AG13</f>
        <v>4265207.0763827767</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253823.92</v>
      </c>
      <c r="D14" s="5">
        <f>Assumptions!E122*Assumptions!E9</f>
        <v>518816.09247999999</v>
      </c>
      <c r="E14" s="5">
        <f>Assumptions!F122*Assumptions!F9</f>
        <v>795345.06977184</v>
      </c>
      <c r="F14" s="5">
        <f>Assumptions!G122*Assumptions!G9</f>
        <v>1083790.2150757606</v>
      </c>
      <c r="G14" s="5">
        <f>Assumptions!H122*Assumptions!H9</f>
        <v>1384541.9997592843</v>
      </c>
      <c r="H14" s="5">
        <f>Assumptions!I122*Assumptions!I9</f>
        <v>1698002.3085047861</v>
      </c>
      <c r="I14" s="5">
        <f>Assumptions!J122*Assumptions!J9</f>
        <v>2024584.7525072065</v>
      </c>
      <c r="J14" s="5">
        <f>Assumptions!K122*Assumptions!K9</f>
        <v>2364714.9909284175</v>
      </c>
      <c r="K14" s="5">
        <f>Assumptions!L122*Assumptions!L9</f>
        <v>2718831.0608199481</v>
      </c>
      <c r="L14" s="5">
        <f>Assumptions!M122*Assumptions!M9</f>
        <v>3087383.7157310969</v>
      </c>
      <c r="M14" s="5">
        <f>Assumptions!N122*Assumptions!N9</f>
        <v>3470836.7732248991</v>
      </c>
      <c r="N14" s="5">
        <f>Assumptions!O122*Assumptions!O9</f>
        <v>3869667.4715300156</v>
      </c>
      <c r="O14" s="5">
        <f>Assumptions!P122*Assumptions!P9</f>
        <v>4284366.8355623158</v>
      </c>
      <c r="P14" s="5">
        <f>Assumptions!Q122*Assumptions!Q9</f>
        <v>4715440.0525558153</v>
      </c>
      <c r="Q14" s="5">
        <f>Assumptions!R122*Assumptions!R9</f>
        <v>5163406.8575486196</v>
      </c>
      <c r="R14" s="5">
        <f>Assumptions!S122*Assumptions!S9</f>
        <v>5628801.9289756678</v>
      </c>
      <c r="S14" s="5">
        <f>Assumptions!T122*Assumptions!T9</f>
        <v>6112175.2946264539</v>
      </c>
      <c r="T14" s="5">
        <f>Assumptions!U122*Assumptions!U9</f>
        <v>6614092.7482322492</v>
      </c>
      <c r="U14" s="5">
        <f>Assumptions!V122*Assumptions!V9</f>
        <v>7135136.2769540995</v>
      </c>
      <c r="V14" s="5">
        <f>Assumptions!W122*Assumptions!W9</f>
        <v>7675904.5000495687</v>
      </c>
      <c r="W14" s="5">
        <f>Assumptions!X122*Assumptions!X9</f>
        <v>8237013.1190031916</v>
      </c>
      <c r="X14" s="5">
        <f>Assumptions!Y122*Assumptions!Y9</f>
        <v>8819095.3794127479</v>
      </c>
      <c r="Y14" s="5">
        <f>Assumptions!Z122*Assumptions!Z9</f>
        <v>9422802.54493073</v>
      </c>
      <c r="Z14" s="5">
        <f>Assumptions!AA122*Assumptions!AA9</f>
        <v>10048804.383567868</v>
      </c>
      <c r="AA14" s="5">
        <f>Assumptions!AB122*Assumptions!AB9</f>
        <v>10697789.666673291</v>
      </c>
      <c r="AB14" s="5">
        <f>Assumptions!AC122*Assumptions!AC9</f>
        <v>11370466.680913709</v>
      </c>
      <c r="AC14" s="5">
        <f>Assumptions!AD122*Assumptions!AD9</f>
        <v>12067563.753582034</v>
      </c>
      <c r="AD14" s="5">
        <f>Assumptions!AE122*Assumptions!AE9</f>
        <v>12789829.791574202</v>
      </c>
      <c r="AE14" s="5">
        <f>Assumptions!AF122*Assumptions!AF9</f>
        <v>13538034.834381294</v>
      </c>
      <c r="AF14" s="5">
        <f>Assumptions!AG122*Assumptions!AG9</f>
        <v>14312970.621452773</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1597672.2570766651</v>
      </c>
      <c r="D27" s="2">
        <f t="shared" ref="D27:AF27" si="8">D12+D13+D14+D19+D20+D22+D24+D25</f>
        <v>1917264.5376036027</v>
      </c>
      <c r="E27" s="2">
        <f t="shared" si="8"/>
        <v>2250612.0070535084</v>
      </c>
      <c r="F27" s="2">
        <f t="shared" si="8"/>
        <v>2598184.1608303967</v>
      </c>
      <c r="G27" s="2">
        <f t="shared" si="8"/>
        <v>2960465.2645468269</v>
      </c>
      <c r="H27" s="2">
        <f t="shared" si="8"/>
        <v>3337954.8079589885</v>
      </c>
      <c r="I27" s="2">
        <f t="shared" si="8"/>
        <v>3731167.9729971094</v>
      </c>
      <c r="J27" s="2">
        <f t="shared" si="8"/>
        <v>4140636.1163433194</v>
      </c>
      <c r="K27" s="2">
        <f t="shared" si="8"/>
        <v>4566907.2670242684</v>
      </c>
      <c r="L27" s="2">
        <f t="shared" si="8"/>
        <v>5010546.6395015037</v>
      </c>
      <c r="M27" s="2">
        <f t="shared" si="8"/>
        <v>5472137.1627588533</v>
      </c>
      <c r="N27" s="2">
        <f t="shared" si="8"/>
        <v>5952280.0259029251</v>
      </c>
      <c r="O27" s="2">
        <f t="shared" si="8"/>
        <v>6451595.2408102052</v>
      </c>
      <c r="P27" s="2">
        <f t="shared" si="8"/>
        <v>6970722.2223723605</v>
      </c>
      <c r="Q27" s="2">
        <f t="shared" si="8"/>
        <v>7510320.3869099356</v>
      </c>
      <c r="R27" s="2">
        <f t="shared" si="8"/>
        <v>8071069.7693440579</v>
      </c>
      <c r="S27" s="2">
        <f t="shared" si="8"/>
        <v>8653671.6597357783</v>
      </c>
      <c r="T27" s="2">
        <f t="shared" si="8"/>
        <v>9258849.25982338</v>
      </c>
      <c r="U27" s="2">
        <f t="shared" si="8"/>
        <v>9887348.3602095488</v>
      </c>
      <c r="V27" s="2">
        <f t="shared" si="8"/>
        <v>10539938.038872488</v>
      </c>
      <c r="W27" s="2">
        <f t="shared" si="8"/>
        <v>11217411.381698119</v>
      </c>
      <c r="X27" s="2">
        <f t="shared" si="8"/>
        <v>11920586.22575446</v>
      </c>
      <c r="Y27" s="2">
        <f t="shared" si="8"/>
        <v>12650305.926053874</v>
      </c>
      <c r="Z27" s="2">
        <f t="shared" si="8"/>
        <v>13407440.146574616</v>
      </c>
      <c r="AA27" s="2">
        <f t="shared" si="8"/>
        <v>14192885.676339567</v>
      </c>
      <c r="AB27" s="2">
        <f t="shared" si="8"/>
        <v>15007567.27137764</v>
      </c>
      <c r="AC27" s="2">
        <f t="shared" si="8"/>
        <v>15852438.523421671</v>
      </c>
      <c r="AD27" s="2">
        <f t="shared" si="8"/>
        <v>16728482.756226297</v>
      </c>
      <c r="AE27" s="2">
        <f t="shared" si="8"/>
        <v>17636713.950419791</v>
      </c>
      <c r="AF27" s="2">
        <f t="shared" si="8"/>
        <v>18578177.69783555</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3W2DU3RAJ5R2-1900874439-804</_dlc_DocId>
    <_dlc_DocIdUrl xmlns="f54e2983-00ce-40fc-8108-18f351fc47bf">
      <Url>https://dia.cohesion.net.nz/Sites/LGV/TWRP/CAE/_layouts/15/DocIdRedir.aspx?ID=3W2DU3RAJ5R2-1900874439-804</Url>
      <Description>3W2DU3RAJ5R2-1900874439-804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schemas.microsoft.com/sharepoint/v3"/>
    <ds:schemaRef ds:uri="http://purl.org/dc/elements/1.1/"/>
    <ds:schemaRef ds:uri="http://schemas.openxmlformats.org/package/2006/metadata/core-properties"/>
    <ds:schemaRef ds:uri="http://schemas.microsoft.com/office/infopath/2007/PartnerControls"/>
    <ds:schemaRef ds:uri="http://purl.org/dc/terms/"/>
    <ds:schemaRef ds:uri="65b6d800-2dda-48d6-88d8-9e2b35e6f7ea"/>
    <ds:schemaRef ds:uri="08a23fc5-e034-477c-ac83-93bc1440f322"/>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2A14F936-BA11-4D4A-BCA4-3E91A1DD4EBB}"/>
</file>

<file path=customXml/itemProps4.xml><?xml version="1.0" encoding="utf-8"?>
<ds:datastoreItem xmlns:ds="http://schemas.openxmlformats.org/officeDocument/2006/customXml" ds:itemID="{F6DCC006-BED9-4749-BF9D-F91535BB5A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2021-07-05T15:31:04Z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e81de4e8-563d-495c-883f-8f374e1be858</vt:lpwstr>
  </property>
</Properties>
</file>