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3" documentId="8_{B4BF7440-52CF-4C79-B1BE-B5F3E5DB6681}" xr6:coauthVersionLast="47" xr6:coauthVersionMax="47" xr10:uidLastSave="{EC8FE5C4-52C6-466B-B886-BFDE5C6FDD6B}"/>
  <bookViews>
    <workbookView xWindow="380" yWindow="3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<sst xmlns="http://schemas.openxmlformats.org/spreadsheetml/2006/main" count="277" uniqueCount="205">
  <si>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</si>
  <si>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</si>
  <si>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</si>
  <si>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</si>
  <si>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</si>
  <si>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</si>
  <si>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</si>
  <si>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</si>
  <si>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</si>
  <si>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</si>
  <si>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</si>
  <si>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</si>
  <si>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</si>
  <si>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</si>
  <si>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</si>
  <si>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</si>
  <si>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</si>
  <si>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</si>
  <si>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</si>
  <si>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</si>
  <si>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</si>
  <si>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</si>
  <si>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</si>
  <si>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</si>
  <si>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</si>
  <si>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</si>
  <si>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</si>
  <si>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</si>
  <si>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</si>
  <si>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</si>
  <si>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</si>
  <si>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</si>
  <si>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</si>
  <si>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</si>
  <si>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</si>
  <si>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</si>
  <si>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</si>
  <si>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</si>
  <si>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</si>
  <si>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</si>
  <si>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</si>
  <si>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</si>
  <si>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</si>
  <si>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</si>
  <si>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</si>
  <si>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</si>
  <si>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</si>
  <si>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</si>
  <si>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</si>
  <si>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</si>
  <si>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</si>
  <si>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</si>
  <si>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</si>
  <si>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</si>
  <si>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</si>
  <si>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</si>
  <si>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</si>
  <si>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</si>
  <si>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</si>
  <si>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</si>
  <si>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</si>
  <si>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</si>
  <si>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</si>
  <si>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</si>
  <si>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</si>
  <si>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</si>
  <si>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</si>
  <si>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</si>
  <si>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</si>
  <si>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</si>
  <si>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</si>
  <si>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</si>
  <si>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</si>
  <si>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</si>
  <si>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</si>
  <si>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</si>
  <si>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</si>
  <si>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</si>
  <si>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</si>
  <si>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</si>
  <si>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</si>
  <si>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</si>
  <si>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</si>
  <si>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</si>
  <si>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</si>
  <si>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</si>
  <si>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</si>
  <si>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</si>
  <si>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</si>
  <si>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</si>
  <si>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</si>
  <si>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</si>
  <si>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</si>
  <si>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</si>
  <si>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</si>
  <si>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</si>
  <si>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</si>
  <si>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</si>
  <si>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</si>
  <si>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</si>
  <si>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</si>
  <si>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</si>
  <si>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</si>
  <si>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</si>
  <si>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</si>
  <si>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</si>
  <si>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</si>
  <si>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</si>
  <si>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</si>
  <si>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</si>
  <si>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</si>
  <si>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</si>
  <si>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</si>
  <si>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</si>
  <si>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</si>
  <si>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</si>
  <si>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</si>
  <si>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</si>
  <si>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</si>
  <si>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</si>
  <si>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</si>
  <si>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</si>
  <si>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</si>
  <si>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</si>
  <si>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</si>
  <si>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</si>
  <si>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</si>
  <si>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</si>
  <si>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</si>
  <si>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</si>
  <si>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</si>
  <si>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</si>
  <si>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</si>
  <si>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</si>
  <si>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</si>
  <si>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</si>
  <si>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</si>
  <si>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</si>
  <si>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</si>
  <si>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</si>
  <si>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</si>
  <si>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</si>
  <si>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</si>
  <si>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</si>
  <si>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</si>
  <si>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</si>
  <si>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</si>
  <si>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</si>
  <si>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</si>
  <si>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</si>
  <si>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</si>
  <si>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</si>
  <si>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</si>
  <si>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</si>
  <si>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</si>
  <si>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</si>
  <si>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</si>
  <si>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</si>
  <si>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</si>
  <si>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</si>
  <si>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</si>
  <si>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</si>
  <si>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</si>
  <si>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</si>
  <si>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</si>
  <si>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</si>
  <si>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</si>
  <si>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</si>
  <si>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</si>
  <si>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</si>
  <si>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</si>
  <si>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</si>
  <si>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</si>
  <si>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</si>
  <si>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</si>
  <si>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</si>
  <si>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</si>
  <si>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</si>
  <si>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</si>
  <si>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</si>
  <si>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</si>
  <si>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</si>
  <si>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</si>
  <si>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</si>
  <si>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</si>
  <si>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</si>
  <si>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</si>
  <si>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</si>
  <si>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</si>
  <si>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</si>
  <si>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</si>
  <si>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</si>
  <si>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</si>
  <si>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</si>
  <si>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</si>
  <si>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</si>
  <si>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</si>
  <si>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Selwyn Stand-alone Council</t>
  </si>
  <si>
    <t>Funding Impact Statements for water, wastewater and stormwater from the Council Annual Report 2019/20. The Annual Report was used given that the operating expenditure reported in Section E did not reconcile with that reported in the Annual Report and Accounts</t>
  </si>
  <si>
    <t>RFI Table A1; Line A1.47</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</si>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</sst>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0" xfId="0" applyFont="1" applyFill="1" applyBorder="1" applyAlignment="1">
      <alignment vertical="top" wrapText="1"/>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710104235.83749998</v>
      </c>
      <c r="C6" s="12">
        <f ca="1">B6+Depreciation!C18+'Cash Flow'!C13</f>
        <v>727768701.85464919</v>
      </c>
      <c r="D6" s="1">
        <f ca="1">C6+Depreciation!D18</f>
        <v>806181305.26588058</v>
      </c>
      <c r="E6" s="1">
        <f ca="1">D6+Depreciation!E18</f>
        <v>888694256.51112127</v>
      </c>
      <c r="F6" s="1">
        <f ca="1">E6+Depreciation!F18</f>
        <v>975489683.34585488</v>
      </c>
      <c r="G6" s="1">
        <f ca="1">F6+Depreciation!G18</f>
        <v>1066757170.9457338</v>
      </c>
      <c r="H6" s="1">
        <f ca="1">G6+Depreciation!H18</f>
        <v>1162694052.6826484</v>
      </c>
      <c r="I6" s="1">
        <f ca="1">H6+Depreciation!I18</f>
        <v>1263505711.8740668</v>
      </c>
      <c r="J6" s="1">
        <f ca="1">I6+Depreciation!J18</f>
        <v>1369405894.9101789</v>
      </c>
      <c r="K6" s="1">
        <f ca="1">J6+Depreciation!K18</f>
        <v>1480617036.1780326</v>
      </c>
      <c r="L6" s="1">
        <f ca="1">K6+Depreciation!L18</f>
        <v>1597370595.2170308</v>
      </c>
      <c r="M6" s="1">
        <f ca="1">L6+Depreciation!M18</f>
        <v>1719907406.5558681</v>
      </c>
      <c r="N6" s="1">
        <f ca="1">M6+Depreciation!N18</f>
        <v>1848478042.6972787</v>
      </c>
      <c r="O6" s="1">
        <f ca="1">N6+Depreciation!O18</f>
        <v>1983343190.7338161</v>
      </c>
      <c r="P6" s="1">
        <f ca="1">O6+Depreciation!P18</f>
        <v>2124774043.0953596</v>
      </c>
      <c r="Q6" s="1">
        <f ca="1">P6+Depreciation!Q18</f>
        <v>2273052702.9471202</v>
      </c>
      <c r="R6" s="1">
        <f ca="1">Q6+Depreciation!R18</f>
        <v>2428472604.7756534</v>
      </c>
      <c r="S6" s="1">
        <f ca="1">R6+Depreciation!S18</f>
        <v>2591338950.7197847</v>
      </c>
      <c r="T6" s="1">
        <f ca="1">S6+Depreciation!T18</f>
        <v>2761969163.2234397</v>
      </c>
      <c r="U6" s="1">
        <f ca="1">T6+Depreciation!U18</f>
        <v>2940693354.6081815</v>
      </c>
      <c r="V6" s="1">
        <f ca="1">U6+Depreciation!V18</f>
        <v>3127854814.1847954</v>
      </c>
      <c r="W6" s="1">
        <f ca="1">V6+Depreciation!W18</f>
        <v>3323810513.5455837</v>
      </c>
      <c r="X6" s="1">
        <f ca="1">W6+Depreciation!X18</f>
        <v>3528931630.702127</v>
      </c>
      <c r="Y6" s="1">
        <f ca="1">X6+Depreciation!Y18</f>
        <v>3743604093.7572079</v>
      </c>
      <c r="Z6" s="1">
        <f ca="1">Y6+Depreciation!Z18</f>
        <v>3968229144.8243647</v>
      </c>
      <c r="AA6" s="1">
        <f ca="1">Z6+Depreciation!AA18</f>
        <v>4203223924.9342022</v>
      </c>
      <c r="AB6" s="1">
        <f ca="1">AA6+Depreciation!AB18</f>
        <v>4449022080.6931591</v>
      </c>
      <c r="AC6" s="1">
        <f ca="1">AB6+Depreciation!AC18</f>
        <v>4706074393.4879456</v>
      </c>
      <c r="AD6" s="1">
        <f ca="1">AC6+Depreciation!AD18</f>
        <v>4974849432.0573587</v>
      </c>
      <c r="AE6" s="1">
        <f ca="1">AD6+Depreciation!AE18</f>
        <v>5255834229.2826719</v>
      </c>
      <c r="AF6" s="1"/>
      <c r="AG6" s="1"/>
      <c r="AH6" s="1"/>
      <c r="AI6" s="1"/>
      <c r="AJ6" s="1"/>
      <c r="AK6" s="1"/>
      <c r="AL6" s="1"/>
      <c r="AM6" s="1"/>
      <c r="AN6" s="1"/>
      <c r="AO6" s="1"/>
      <c r="AP6" s="1"/>
    </row>
    <row r="7" spans="1:42" x14ac:dyDescent="0.35">
      <c r="A7" t="s">
        <v>12</v>
      </c>
      <c r="B7" s="1">
        <f>Depreciation!C12</f>
        <v>367289376.10272115</v>
      </c>
      <c r="C7" s="1">
        <f>Depreciation!D12</f>
        <v>381460033.25870538</v>
      </c>
      <c r="D7" s="1">
        <f>Depreciation!E12</f>
        <v>397675295.96853101</v>
      </c>
      <c r="E7" s="1">
        <f>Depreciation!F12</f>
        <v>416051508.2347163</v>
      </c>
      <c r="F7" s="1">
        <f>Depreciation!G12</f>
        <v>436710366.39985329</v>
      </c>
      <c r="G7" s="1">
        <f>Depreciation!H12</f>
        <v>459779142.56011432</v>
      </c>
      <c r="H7" s="1">
        <f>Depreciation!I12</f>
        <v>485390916.7964263</v>
      </c>
      <c r="I7" s="1">
        <f>Depreciation!J12</f>
        <v>513684818.55886829</v>
      </c>
      <c r="J7" s="1">
        <f>Depreciation!K12</f>
        <v>544806277.55229473</v>
      </c>
      <c r="K7" s="1">
        <f>Depreciation!L12</f>
        <v>578907284.48408377</v>
      </c>
      <c r="L7" s="1">
        <f>Depreciation!M12</f>
        <v>616146662.04828143</v>
      </c>
      <c r="M7" s="1">
        <f>Depreciation!N12</f>
        <v>656690346.53426373</v>
      </c>
      <c r="N7" s="1">
        <f>Depreciation!O12</f>
        <v>700711680.46239913</v>
      </c>
      <c r="O7" s="1">
        <f>Depreciation!P12</f>
        <v>748391716.66407168</v>
      </c>
      <c r="P7" s="1">
        <f>Depreciation!Q12</f>
        <v>799919534.23884559</v>
      </c>
      <c r="Q7" s="1">
        <f>Depreciation!R12</f>
        <v>855492566.83752847</v>
      </c>
      <c r="R7" s="1">
        <f>Depreciation!S12</f>
        <v>915316943.73645425</v>
      </c>
      <c r="S7" s="1">
        <f>Depreciation!T12</f>
        <v>979607844.18545735</v>
      </c>
      <c r="T7" s="1">
        <f>Depreciation!U12</f>
        <v>1048589865.5297982</v>
      </c>
      <c r="U7" s="1">
        <f>Depreciation!V12</f>
        <v>1122497405.6247184</v>
      </c>
      <c r="V7" s="1">
        <f>Depreciation!W12</f>
        <v>1201575060.0803986</v>
      </c>
      <c r="W7" s="1">
        <f>Depreciation!X12</f>
        <v>1286078034.8948703</v>
      </c>
      <c r="X7" s="1">
        <f>Depreciation!Y12</f>
        <v>1376272575.0529337</v>
      </c>
      <c r="Y7" s="1">
        <f>Depreciation!Z12</f>
        <v>1472436409.6903682</v>
      </c>
      <c r="Z7" s="1">
        <f>Depreciation!AA12</f>
        <v>1574859214.4447322</v>
      </c>
      <c r="AA7" s="1">
        <f>Depreciation!AB12</f>
        <v>1683843091.6368401</v>
      </c>
      <c r="AB7" s="1">
        <f>Depreciation!AC12</f>
        <v>1799703068.9506392</v>
      </c>
      <c r="AC7" s="1">
        <f>Depreciation!AD12</f>
        <v>1922767617.303673</v>
      </c>
      <c r="AD7" s="1">
        <f>Depreciation!AE12</f>
        <v>2053379188.6256833</v>
      </c>
      <c r="AE7" s="1">
        <f>Depreciation!AF12</f>
        <v>2191894774.2891707</v>
      </c>
      <c r="AF7" s="1"/>
      <c r="AG7" s="1"/>
      <c r="AH7" s="1"/>
      <c r="AI7" s="1"/>
      <c r="AJ7" s="1"/>
      <c r="AK7" s="1"/>
      <c r="AL7" s="1"/>
      <c r="AM7" s="1"/>
      <c r="AN7" s="1"/>
      <c r="AO7" s="1"/>
      <c r="AP7" s="1"/>
    </row>
    <row r="8" spans="1:42" x14ac:dyDescent="0.35">
      <c r="A8" t="s">
        <v>192</v>
      </c>
      <c r="B8" s="1">
        <f t="shared" ref="B8:AE8" si="1">B6-B7</f>
        <v>342814859.73477882</v>
      </c>
      <c r="C8" s="1">
        <f t="shared" ca="1" si="1"/>
        <v>346308668.59594381</v>
      </c>
      <c r="D8" s="1">
        <f ca="1">D6-D7</f>
        <v>408506009.29734957</v>
      </c>
      <c r="E8" s="1">
        <f t="shared" ca="1" si="1"/>
        <v>472642748.27640498</v>
      </c>
      <c r="F8" s="1">
        <f t="shared" ca="1" si="1"/>
        <v>538779316.94600153</v>
      </c>
      <c r="G8" s="1">
        <f t="shared" ca="1" si="1"/>
        <v>606978028.3856194</v>
      </c>
      <c r="H8" s="1">
        <f t="shared" ca="1" si="1"/>
        <v>677303135.88622212</v>
      </c>
      <c r="I8" s="1">
        <f t="shared" ca="1" si="1"/>
        <v>749820893.31519854</v>
      </c>
      <c r="J8" s="1">
        <f t="shared" ca="1" si="1"/>
        <v>824599617.35788417</v>
      </c>
      <c r="K8" s="1">
        <f t="shared" ca="1" si="1"/>
        <v>901709751.69394886</v>
      </c>
      <c r="L8" s="1">
        <f t="shared" ca="1" si="1"/>
        <v>981223933.16874933</v>
      </c>
      <c r="M8" s="1">
        <f t="shared" ca="1" si="1"/>
        <v>1063217060.0216044</v>
      </c>
      <c r="N8" s="1">
        <f t="shared" ca="1" si="1"/>
        <v>1147766362.2348795</v>
      </c>
      <c r="O8" s="1">
        <f t="shared" ca="1" si="1"/>
        <v>1234951474.0697446</v>
      </c>
      <c r="P8" s="1">
        <f t="shared" ca="1" si="1"/>
        <v>1324854508.856514</v>
      </c>
      <c r="Q8" s="1">
        <f t="shared" ca="1" si="1"/>
        <v>1417560136.1095917</v>
      </c>
      <c r="R8" s="1">
        <f t="shared" ca="1" si="1"/>
        <v>1513155661.0391991</v>
      </c>
      <c r="S8" s="1">
        <f t="shared" ca="1" si="1"/>
        <v>1611731106.5343275</v>
      </c>
      <c r="T8" s="1">
        <f t="shared" ca="1" si="1"/>
        <v>1713379297.6936417</v>
      </c>
      <c r="U8" s="1">
        <f t="shared" ca="1" si="1"/>
        <v>1818195948.983463</v>
      </c>
      <c r="V8" s="1">
        <f t="shared" ca="1" si="1"/>
        <v>1926279754.1043968</v>
      </c>
      <c r="W8" s="1">
        <f t="shared" ca="1" si="1"/>
        <v>2037732478.6507134</v>
      </c>
      <c r="X8" s="1">
        <f t="shared" ca="1" si="1"/>
        <v>2152659055.6491933</v>
      </c>
      <c r="Y8" s="1">
        <f t="shared" ca="1" si="1"/>
        <v>2271167684.0668397</v>
      </c>
      <c r="Z8" s="1">
        <f t="shared" ca="1" si="1"/>
        <v>2393369930.3796325</v>
      </c>
      <c r="AA8" s="1">
        <f t="shared" ca="1" si="1"/>
        <v>2519380833.2973623</v>
      </c>
      <c r="AB8" s="1">
        <f t="shared" ca="1" si="1"/>
        <v>2649319011.7425199</v>
      </c>
      <c r="AC8" s="1">
        <f t="shared" ca="1" si="1"/>
        <v>2783306776.1842728</v>
      </c>
      <c r="AD8" s="1">
        <f t="shared" ca="1" si="1"/>
        <v>2921470243.4316754</v>
      </c>
      <c r="AE8" s="1">
        <f t="shared" ca="1" si="1"/>
        <v>3063939454.9935012</v>
      </c>
      <c r="AF8" s="1"/>
      <c r="AG8" s="1"/>
      <c r="AH8" s="1"/>
      <c r="AI8" s="1"/>
      <c r="AJ8" s="1"/>
      <c r="AK8" s="1"/>
      <c r="AL8" s="1"/>
      <c r="AM8" s="1"/>
      <c r="AN8" s="1"/>
      <c r="AO8" s="1"/>
      <c r="AP8" s="1"/>
    </row>
    <row r="10" spans="1:42" x14ac:dyDescent="0.35">
      <c r="A10" t="s">
        <v>17</v>
      </c>
      <c r="B10" s="1">
        <f>B8-B11</f>
        <v>328110859.73477882</v>
      </c>
      <c r="C10" s="1">
        <f ca="1">C8-C11</f>
        <v>274781928.50737065</v>
      </c>
      <c r="D10" s="1">
        <f ca="1">D8-D11</f>
        <v>282704400.82591957</v>
      </c>
      <c r="E10" s="1">
        <f t="shared" ref="E10:AE10" ca="1" si="2">E8-E11</f>
        <v>295628108.40164644</v>
      </c>
      <c r="F10" s="1">
        <f t="shared" ca="1" si="2"/>
        <v>315049809.69090164</v>
      </c>
      <c r="G10" s="1">
        <f ca="1">G8-G11</f>
        <v>343935822.36264277</v>
      </c>
      <c r="H10" s="1">
        <f t="shared" ca="1" si="2"/>
        <v>383078210.63207018</v>
      </c>
      <c r="I10" s="1">
        <f t="shared" ca="1" si="2"/>
        <v>426508639.6973806</v>
      </c>
      <c r="J10" s="1">
        <f t="shared" ca="1" si="2"/>
        <v>475253003.00449884</v>
      </c>
      <c r="K10" s="1">
        <f t="shared" ca="1" si="2"/>
        <v>527633941.99884236</v>
      </c>
      <c r="L10" s="1">
        <f t="shared" ca="1" si="2"/>
        <v>582804426.27907324</v>
      </c>
      <c r="M10" s="1">
        <f t="shared" ca="1" si="2"/>
        <v>639588696.43561745</v>
      </c>
      <c r="N10" s="1">
        <f t="shared" ca="1" si="2"/>
        <v>698248559.68195677</v>
      </c>
      <c r="O10" s="1">
        <f t="shared" ca="1" si="2"/>
        <v>758133387.96331012</v>
      </c>
      <c r="P10" s="1">
        <f t="shared" ca="1" si="2"/>
        <v>818822169.72887754</v>
      </c>
      <c r="Q10" s="1">
        <f t="shared" ca="1" si="2"/>
        <v>880428208.64459324</v>
      </c>
      <c r="R10" s="1">
        <f t="shared" ca="1" si="2"/>
        <v>943082070.37422991</v>
      </c>
      <c r="S10" s="1">
        <f t="shared" ca="1" si="2"/>
        <v>1006933292.1049802</v>
      </c>
      <c r="T10" s="1">
        <f t="shared" ca="1" si="2"/>
        <v>1072152228.0026722</v>
      </c>
      <c r="U10" s="1">
        <f t="shared" ca="1" si="2"/>
        <v>1138932040.1647067</v>
      </c>
      <c r="V10" s="1">
        <f t="shared" ca="1" si="2"/>
        <v>1207490845.2644944</v>
      </c>
      <c r="W10" s="1">
        <f t="shared" ca="1" si="2"/>
        <v>1278074027.7459311</v>
      </c>
      <c r="X10" s="1">
        <f t="shared" ca="1" si="2"/>
        <v>1350956731.1325929</v>
      </c>
      <c r="Y10" s="1">
        <f t="shared" ca="1" si="2"/>
        <v>1425787389.8682501</v>
      </c>
      <c r="Z10" s="1">
        <f t="shared" ca="1" si="2"/>
        <v>1502811623.2931998</v>
      </c>
      <c r="AA10" s="1">
        <f t="shared" ca="1" si="2"/>
        <v>1581570684.4914877</v>
      </c>
      <c r="AB10" s="1">
        <f t="shared" ca="1" si="2"/>
        <v>1662265087.0350332</v>
      </c>
      <c r="AC10" s="1">
        <f t="shared" ca="1" si="2"/>
        <v>1745119229.7673903</v>
      </c>
      <c r="AD10" s="1">
        <f t="shared" ca="1" si="2"/>
        <v>1830383494.5763316</v>
      </c>
      <c r="AE10" s="1">
        <f t="shared" ca="1" si="2"/>
        <v>1918336497.2482762</v>
      </c>
      <c r="AF10" s="1"/>
      <c r="AG10" s="1"/>
      <c r="AH10" s="1"/>
      <c r="AI10" s="1"/>
      <c r="AJ10" s="1"/>
      <c r="AK10" s="1"/>
      <c r="AL10" s="1"/>
      <c r="AM10" s="1"/>
      <c r="AN10" s="1"/>
      <c r="AO10" s="1"/>
    </row>
    <row r="11" spans="1:42" x14ac:dyDescent="0.35">
      <c r="A11" t="s">
        <v>9</v>
      </c>
      <c r="B11" s="1">
        <f>Assumptions!$C$20</f>
        <v>14704000</v>
      </c>
      <c r="C11" s="1">
        <f ca="1">'Debt worksheet'!D5</f>
        <v>71526740.088573158</v>
      </c>
      <c r="D11" s="1">
        <f ca="1">'Debt worksheet'!E5</f>
        <v>125801608.47143</v>
      </c>
      <c r="E11" s="1">
        <f ca="1">'Debt worksheet'!F5</f>
        <v>177014639.87475854</v>
      </c>
      <c r="F11" s="1">
        <f ca="1">'Debt worksheet'!G5</f>
        <v>223729507.25509989</v>
      </c>
      <c r="G11" s="1">
        <f ca="1">'Debt worksheet'!H5</f>
        <v>263042206.02297661</v>
      </c>
      <c r="H11" s="1">
        <f ca="1">'Debt worksheet'!I5</f>
        <v>294224925.25415194</v>
      </c>
      <c r="I11" s="1">
        <f ca="1">'Debt worksheet'!J5</f>
        <v>323312253.61781794</v>
      </c>
      <c r="J11" s="1">
        <f ca="1">'Debt worksheet'!K5</f>
        <v>349346614.35338533</v>
      </c>
      <c r="K11" s="1">
        <f ca="1">'Debt worksheet'!L5</f>
        <v>374075809.69510651</v>
      </c>
      <c r="L11" s="1">
        <f ca="1">'Debt worksheet'!M5</f>
        <v>398419506.88967615</v>
      </c>
      <c r="M11" s="1">
        <f ca="1">'Debt worksheet'!N5</f>
        <v>423628363.58598697</v>
      </c>
      <c r="N11" s="1">
        <f ca="1">'Debt worksheet'!O5</f>
        <v>449517802.55292273</v>
      </c>
      <c r="O11" s="1">
        <f ca="1">'Debt worksheet'!P5</f>
        <v>476818086.10643446</v>
      </c>
      <c r="P11" s="1">
        <f ca="1">'Debt worksheet'!Q5</f>
        <v>506032339.12763643</v>
      </c>
      <c r="Q11" s="1">
        <f ca="1">'Debt worksheet'!R5</f>
        <v>537131927.46499848</v>
      </c>
      <c r="R11" s="1">
        <f ca="1">'Debt worksheet'!S5</f>
        <v>570073590.66496921</v>
      </c>
      <c r="S11" s="1">
        <f ca="1">'Debt worksheet'!T5</f>
        <v>604797814.42934728</v>
      </c>
      <c r="T11" s="1">
        <f ca="1">'Debt worksheet'!U5</f>
        <v>641227069.69096947</v>
      </c>
      <c r="U11" s="1">
        <f ca="1">'Debt worksheet'!V5</f>
        <v>679263908.81875634</v>
      </c>
      <c r="V11" s="1">
        <f ca="1">'Debt worksheet'!W5</f>
        <v>718788908.8399024</v>
      </c>
      <c r="W11" s="1">
        <f ca="1">'Debt worksheet'!X5</f>
        <v>759658450.90478241</v>
      </c>
      <c r="X11" s="1">
        <f ca="1">'Debt worksheet'!Y5</f>
        <v>801702324.51660037</v>
      </c>
      <c r="Y11" s="1">
        <f ca="1">'Debt worksheet'!Z5</f>
        <v>845380294.19858956</v>
      </c>
      <c r="Z11" s="1">
        <f ca="1">'Debt worksheet'!AA5</f>
        <v>890558307.0864327</v>
      </c>
      <c r="AA11" s="1">
        <f ca="1">'Debt worksheet'!AB5</f>
        <v>937810148.80587459</v>
      </c>
      <c r="AB11" s="1">
        <f ca="1">'Debt worksheet'!AC5</f>
        <v>987053924.70748651</v>
      </c>
      <c r="AC11" s="1">
        <f ca="1">'Debt worksheet'!AD5</f>
        <v>1038187546.4168825</v>
      </c>
      <c r="AD11" s="1">
        <f ca="1">'Debt worksheet'!AE5</f>
        <v>1091086748.8553438</v>
      </c>
      <c r="AE11" s="1">
        <f ca="1">'Debt worksheet'!AF5</f>
        <v>1145602957.745225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5427207.8331779595</v>
      </c>
      <c r="D5" s="4">
        <f ca="1">'Profit and Loss'!D9</f>
        <v>9967077.8723903075</v>
      </c>
      <c r="E5" s="4">
        <f ca="1">'Profit and Loss'!E9</f>
        <v>15084657.132086501</v>
      </c>
      <c r="F5" s="4">
        <f ca="1">'Profit and Loss'!F9</f>
        <v>21704347.188206982</v>
      </c>
      <c r="G5" s="4">
        <f ca="1">'Profit and Loss'!G9</f>
        <v>31295930.666865166</v>
      </c>
      <c r="H5" s="4">
        <f ca="1">'Profit and Loss'!H9</f>
        <v>41685386.345478281</v>
      </c>
      <c r="I5" s="4">
        <f ca="1">'Profit and Loss'!I9</f>
        <v>46112556.591440529</v>
      </c>
      <c r="J5" s="4">
        <f ca="1">'Profit and Loss'!J9</f>
        <v>51571920.538102552</v>
      </c>
      <c r="K5" s="4">
        <f ca="1">'Profit and Loss'!K9</f>
        <v>55360486.932706244</v>
      </c>
      <c r="L5" s="4">
        <f ca="1">'Profit and Loss'!L9</f>
        <v>58308854.912639409</v>
      </c>
      <c r="M5" s="4">
        <f ca="1">'Profit and Loss'!M9</f>
        <v>60088577.078328885</v>
      </c>
      <c r="N5" s="4">
        <f ca="1">'Profit and Loss'!N9</f>
        <v>62137512.688492492</v>
      </c>
      <c r="O5" s="4">
        <f ca="1">'Profit and Loss'!O9</f>
        <v>63543530.55489023</v>
      </c>
      <c r="P5" s="4">
        <f ca="1">'Profit and Loss'!P9</f>
        <v>64536563.138668835</v>
      </c>
      <c r="Q5" s="4">
        <f ca="1">'Profit and Loss'!Q9</f>
        <v>65651253.939624608</v>
      </c>
      <c r="R5" s="4">
        <f ca="1">'Profit and Loss'!R9</f>
        <v>66905206.029879466</v>
      </c>
      <c r="S5" s="4">
        <f ca="1">'Profit and Loss'!S9</f>
        <v>68317745.280827388</v>
      </c>
      <c r="T5" s="4">
        <f ca="1">'Profit and Loss'!T9</f>
        <v>69910056.79302977</v>
      </c>
      <c r="U5" s="4">
        <f ca="1">'Profit and Loss'!U9</f>
        <v>71705330.912613973</v>
      </c>
      <c r="V5" s="4">
        <f ca="1">'Profit and Loss'!V9</f>
        <v>73728919.460547596</v>
      </c>
      <c r="W5" s="4">
        <f ca="1">'Profit and Loss'!W9</f>
        <v>76008502.840227857</v>
      </c>
      <c r="X5" s="4">
        <f ca="1">'Profit and Loss'!X9</f>
        <v>78574268.730253428</v>
      </c>
      <c r="Y5" s="4">
        <f ca="1">'Profit and Loss'!Y9</f>
        <v>80799953.215028405</v>
      </c>
      <c r="Z5" s="4">
        <f ca="1">'Profit and Loss'!Z9</f>
        <v>83283203.541878968</v>
      </c>
      <c r="AA5" s="4">
        <f ca="1">'Profit and Loss'!AA9</f>
        <v>85320133.636031479</v>
      </c>
      <c r="AB5" s="4">
        <f ca="1">'Profit and Loss'!AB9</f>
        <v>87570502.665236533</v>
      </c>
      <c r="AC5" s="4">
        <f ca="1">'Profit and Loss'!AC9</f>
        <v>90058713.771591559</v>
      </c>
      <c r="AD5" s="4">
        <f ca="1">'Profit and Loss'!AD9</f>
        <v>92811287.777917773</v>
      </c>
      <c r="AE5" s="4">
        <f ca="1">'Profit and Loss'!AE9</f>
        <v>95857017.01342231</v>
      </c>
      <c r="AF5" s="4">
        <f ca="1">'Profit and Loss'!AF9</f>
        <v>99227129.148776323</v>
      </c>
      <c r="AG5" s="4"/>
      <c r="AH5" s="4"/>
      <c r="AI5" s="4"/>
      <c r="AJ5" s="4"/>
      <c r="AK5" s="4"/>
      <c r="AL5" s="4"/>
      <c r="AM5" s="4"/>
      <c r="AN5" s="4"/>
      <c r="AO5" s="4"/>
      <c r="AP5" s="4"/>
    </row>
    <row r="6" spans="1:42" x14ac:dyDescent="0.35">
      <c r="A6" t="s">
        <v>21</v>
      </c>
      <c r="C6" s="4">
        <f>Depreciation!C8+Depreciation!C9</f>
        <v>12237258.183971211</v>
      </c>
      <c r="D6" s="4">
        <f>Depreciation!D8+Depreciation!D9</f>
        <v>14170657.155984221</v>
      </c>
      <c r="E6" s="4">
        <f>Depreciation!E8+Depreciation!E9</f>
        <v>16215262.709825676</v>
      </c>
      <c r="F6" s="4">
        <f>Depreciation!F8+Depreciation!F9</f>
        <v>18376212.266185258</v>
      </c>
      <c r="G6" s="4">
        <f>Depreciation!G8+Depreciation!G9</f>
        <v>20658858.165136993</v>
      </c>
      <c r="H6" s="4">
        <f>Depreciation!H8+Depreciation!H9</f>
        <v>23068776.160261065</v>
      </c>
      <c r="I6" s="4">
        <f>Depreciation!I8+Depreciation!I9</f>
        <v>25611774.236311968</v>
      </c>
      <c r="J6" s="4">
        <f>Depreciation!J8+Depreciation!J9</f>
        <v>28293901.76244203</v>
      </c>
      <c r="K6" s="4">
        <f>Depreciation!K8+Depreciation!K9</f>
        <v>31121458.993426438</v>
      </c>
      <c r="L6" s="4">
        <f>Depreciation!L8+Depreciation!L9</f>
        <v>34101006.9317891</v>
      </c>
      <c r="M6" s="4">
        <f>Depreciation!M8+Depreciation!M9</f>
        <v>37239377.564197704</v>
      </c>
      <c r="N6" s="4">
        <f>Depreciation!N8+Depreciation!N9</f>
        <v>40543684.485982314</v>
      </c>
      <c r="O6" s="4">
        <f>Depreciation!O8+Depreciation!O9</f>
        <v>44021333.928135388</v>
      </c>
      <c r="P6" s="4">
        <f>Depreciation!P8+Depreciation!P9</f>
        <v>47680036.201672614</v>
      </c>
      <c r="Q6" s="4">
        <f>Depreciation!Q8+Depreciation!Q9</f>
        <v>51527817.574773811</v>
      </c>
      <c r="R6" s="4">
        <f>Depreciation!R8+Depreciation!R9</f>
        <v>55573032.598682985</v>
      </c>
      <c r="S6" s="4">
        <f>Depreciation!S8+Depreciation!S9</f>
        <v>59824376.898925781</v>
      </c>
      <c r="T6" s="4">
        <f>Depreciation!T8+Depreciation!T9</f>
        <v>64290900.449003048</v>
      </c>
      <c r="U6" s="4">
        <f>Depreciation!U8+Depreciation!U9</f>
        <v>68982021.344340742</v>
      </c>
      <c r="V6" s="4">
        <f>Depreciation!V8+Depreciation!V9</f>
        <v>73907540.094920322</v>
      </c>
      <c r="W6" s="4">
        <f>Depreciation!W8+Depreciation!W9</f>
        <v>79077654.455680355</v>
      </c>
      <c r="X6" s="4">
        <f>Depreciation!X8+Depreciation!X9</f>
        <v>84502974.814471841</v>
      </c>
      <c r="Y6" s="4">
        <f>Depreciation!Y8+Depreciation!Y9</f>
        <v>90194540.158063352</v>
      </c>
      <c r="Z6" s="4">
        <f>Depreciation!Z8+Depreciation!Z9</f>
        <v>96163834.637434721</v>
      </c>
      <c r="AA6" s="4">
        <f>Depreciation!AA8+Depreciation!AA9</f>
        <v>102422804.75436401</v>
      </c>
      <c r="AB6" s="4">
        <f>Depreciation!AB8+Depreciation!AB9</f>
        <v>108983877.19210799</v>
      </c>
      <c r="AC6" s="4">
        <f>Depreciation!AC8+Depreciation!AC9</f>
        <v>115859977.31379914</v>
      </c>
      <c r="AD6" s="4">
        <f>Depreciation!AD8+Depreciation!AD9</f>
        <v>123064548.35303381</v>
      </c>
      <c r="AE6" s="4">
        <f>Depreciation!AE8+Depreciation!AE9</f>
        <v>130611571.3220102</v>
      </c>
      <c r="AF6" s="4">
        <f>Depreciation!AF8+Depreciation!AF9</f>
        <v>138515585.66348752</v>
      </c>
      <c r="AG6" s="4"/>
      <c r="AH6" s="4"/>
      <c r="AI6" s="4"/>
      <c r="AJ6" s="4"/>
      <c r="AK6" s="4"/>
      <c r="AL6" s="4"/>
      <c r="AM6" s="4"/>
      <c r="AN6" s="4"/>
      <c r="AO6" s="4"/>
      <c r="AP6" s="4"/>
    </row>
    <row r="7" spans="1:42" x14ac:dyDescent="0.35">
      <c r="A7" t="s">
        <v>23</v>
      </c>
      <c r="C7" s="4">
        <f ca="1">C6+C5</f>
        <v>17664466.017149173</v>
      </c>
      <c r="D7" s="4">
        <f ca="1">D6+D5</f>
        <v>24137735.02837453</v>
      </c>
      <c r="E7" s="4">
        <f t="shared" ref="E7:AF7" ca="1" si="1">E6+E5</f>
        <v>31299919.841912176</v>
      </c>
      <c r="F7" s="4">
        <f t="shared" ca="1" si="1"/>
        <v>40080559.454392239</v>
      </c>
      <c r="G7" s="4">
        <f ca="1">G6+G5</f>
        <v>51954788.832002163</v>
      </c>
      <c r="H7" s="4">
        <f t="shared" ca="1" si="1"/>
        <v>64754162.505739346</v>
      </c>
      <c r="I7" s="4">
        <f t="shared" ca="1" si="1"/>
        <v>71724330.827752501</v>
      </c>
      <c r="J7" s="4">
        <f t="shared" ca="1" si="1"/>
        <v>79865822.30054459</v>
      </c>
      <c r="K7" s="4">
        <f t="shared" ca="1" si="1"/>
        <v>86481945.926132679</v>
      </c>
      <c r="L7" s="4">
        <f t="shared" ca="1" si="1"/>
        <v>92409861.844428509</v>
      </c>
      <c r="M7" s="4">
        <f t="shared" ca="1" si="1"/>
        <v>97327954.642526597</v>
      </c>
      <c r="N7" s="4">
        <f t="shared" ca="1" si="1"/>
        <v>102681197.17447481</v>
      </c>
      <c r="O7" s="4">
        <f t="shared" ca="1" si="1"/>
        <v>107564864.48302561</v>
      </c>
      <c r="P7" s="4">
        <f t="shared" ca="1" si="1"/>
        <v>112216599.34034145</v>
      </c>
      <c r="Q7" s="4">
        <f t="shared" ca="1" si="1"/>
        <v>117179071.51439843</v>
      </c>
      <c r="R7" s="4">
        <f t="shared" ca="1" si="1"/>
        <v>122478238.62856245</v>
      </c>
      <c r="S7" s="4">
        <f t="shared" ca="1" si="1"/>
        <v>128142122.17975317</v>
      </c>
      <c r="T7" s="4">
        <f t="shared" ca="1" si="1"/>
        <v>134200957.24203283</v>
      </c>
      <c r="U7" s="4">
        <f t="shared" ca="1" si="1"/>
        <v>140687352.25695473</v>
      </c>
      <c r="V7" s="4">
        <f t="shared" ca="1" si="1"/>
        <v>147636459.5554679</v>
      </c>
      <c r="W7" s="4">
        <f t="shared" ca="1" si="1"/>
        <v>155086157.29590821</v>
      </c>
      <c r="X7" s="4">
        <f t="shared" ca="1" si="1"/>
        <v>163077243.54472527</v>
      </c>
      <c r="Y7" s="4">
        <f t="shared" ca="1" si="1"/>
        <v>170994493.37309176</v>
      </c>
      <c r="Z7" s="4">
        <f t="shared" ca="1" si="1"/>
        <v>179447038.17931369</v>
      </c>
      <c r="AA7" s="4">
        <f t="shared" ca="1" si="1"/>
        <v>187742938.39039549</v>
      </c>
      <c r="AB7" s="4">
        <f t="shared" ca="1" si="1"/>
        <v>196554379.85734451</v>
      </c>
      <c r="AC7" s="4">
        <f t="shared" ca="1" si="1"/>
        <v>205918691.08539069</v>
      </c>
      <c r="AD7" s="4">
        <f t="shared" ca="1" si="1"/>
        <v>215875836.13095158</v>
      </c>
      <c r="AE7" s="4">
        <f t="shared" ca="1" si="1"/>
        <v>226468588.33543253</v>
      </c>
      <c r="AF7" s="4">
        <f t="shared" ca="1" si="1"/>
        <v>237742714.81226385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74487206.105722323</v>
      </c>
      <c r="D10" s="9">
        <f>Investment!D25</f>
        <v>78412603.411231369</v>
      </c>
      <c r="E10" s="9">
        <f>Investment!E25</f>
        <v>82512951.245240733</v>
      </c>
      <c r="F10" s="9">
        <f>Investment!F25</f>
        <v>86795426.83473359</v>
      </c>
      <c r="G10" s="9">
        <f>Investment!G25</f>
        <v>91267487.599878877</v>
      </c>
      <c r="H10" s="9">
        <f>Investment!H25</f>
        <v>95936881.736914679</v>
      </c>
      <c r="I10" s="9">
        <f>Investment!I25</f>
        <v>100811659.19141848</v>
      </c>
      <c r="J10" s="9">
        <f>Investment!J25</f>
        <v>105900183.03611198</v>
      </c>
      <c r="K10" s="9">
        <f>Investment!K25</f>
        <v>111211141.26785383</v>
      </c>
      <c r="L10" s="9">
        <f>Investment!L25</f>
        <v>116753559.03899816</v>
      </c>
      <c r="M10" s="9">
        <f>Investment!M25</f>
        <v>122536811.33883744</v>
      </c>
      <c r="N10" s="9">
        <f>Investment!N25</f>
        <v>128570636.14141053</v>
      </c>
      <c r="O10" s="9">
        <f>Investment!O25</f>
        <v>134865148.03653732</v>
      </c>
      <c r="P10" s="9">
        <f>Investment!P25</f>
        <v>141430852.36154339</v>
      </c>
      <c r="Q10" s="9">
        <f>Investment!Q25</f>
        <v>148278659.85176045</v>
      </c>
      <c r="R10" s="9">
        <f>Investment!R25</f>
        <v>155419901.8285332</v>
      </c>
      <c r="S10" s="9">
        <f>Investment!S25</f>
        <v>162866345.9441312</v>
      </c>
      <c r="T10" s="9">
        <f>Investment!T25</f>
        <v>170630212.50365502</v>
      </c>
      <c r="U10" s="9">
        <f>Investment!U25</f>
        <v>178724191.3847416</v>
      </c>
      <c r="V10" s="9">
        <f>Investment!V25</f>
        <v>187161459.57661399</v>
      </c>
      <c r="W10" s="9">
        <f>Investment!W25</f>
        <v>195955699.36078826</v>
      </c>
      <c r="X10" s="9">
        <f>Investment!X25</f>
        <v>205121117.1565432</v>
      </c>
      <c r="Y10" s="9">
        <f>Investment!Y25</f>
        <v>214672463.05508095</v>
      </c>
      <c r="Z10" s="9">
        <f>Investment!Z25</f>
        <v>224625051.06715688</v>
      </c>
      <c r="AA10" s="9">
        <f>Investment!AA25</f>
        <v>234994780.10983732</v>
      </c>
      <c r="AB10" s="9">
        <f>Investment!AB25</f>
        <v>245798155.75895643</v>
      </c>
      <c r="AC10" s="9">
        <f>Investment!AC25</f>
        <v>257052312.79478672</v>
      </c>
      <c r="AD10" s="9">
        <f>Investment!AD25</f>
        <v>268775038.56941301</v>
      </c>
      <c r="AE10" s="9">
        <f>Investment!AE25</f>
        <v>280984797.22531354</v>
      </c>
      <c r="AF10" s="9">
        <f>Investment!AF25</f>
        <v>293700754.7956965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-56822740.08857315</v>
      </c>
      <c r="D12" s="1">
        <f t="shared" ref="D12:AF12" ca="1" si="2">D7-D9-D10</f>
        <v>-54274868.382856838</v>
      </c>
      <c r="E12" s="1">
        <f ca="1">E7-E9-E10</f>
        <v>-51213031.403328553</v>
      </c>
      <c r="F12" s="1">
        <f t="shared" ca="1" si="2"/>
        <v>-46714867.380341351</v>
      </c>
      <c r="G12" s="1">
        <f ca="1">G7-G9-G10</f>
        <v>-39312698.767876714</v>
      </c>
      <c r="H12" s="1">
        <f t="shared" ca="1" si="2"/>
        <v>-31182719.231175333</v>
      </c>
      <c r="I12" s="1">
        <f t="shared" ca="1" si="2"/>
        <v>-29087328.363665983</v>
      </c>
      <c r="J12" s="1">
        <f t="shared" ca="1" si="2"/>
        <v>-26034360.735567391</v>
      </c>
      <c r="K12" s="1">
        <f t="shared" ca="1" si="2"/>
        <v>-24729195.341721147</v>
      </c>
      <c r="L12" s="1">
        <f t="shared" ca="1" si="2"/>
        <v>-24343697.194569647</v>
      </c>
      <c r="M12" s="1">
        <f t="shared" ca="1" si="2"/>
        <v>-25208856.696310848</v>
      </c>
      <c r="N12" s="1">
        <f t="shared" ca="1" si="2"/>
        <v>-25889438.966935724</v>
      </c>
      <c r="O12" s="1">
        <f t="shared" ca="1" si="2"/>
        <v>-27300283.553511709</v>
      </c>
      <c r="P12" s="1">
        <f t="shared" ca="1" si="2"/>
        <v>-29214253.021201938</v>
      </c>
      <c r="Q12" s="1">
        <f t="shared" ca="1" si="2"/>
        <v>-31099588.337362021</v>
      </c>
      <c r="R12" s="1">
        <f t="shared" ca="1" si="2"/>
        <v>-32941663.199970752</v>
      </c>
      <c r="S12" s="1">
        <f t="shared" ca="1" si="2"/>
        <v>-34724223.764378026</v>
      </c>
      <c r="T12" s="1">
        <f t="shared" ca="1" si="2"/>
        <v>-36429255.26162219</v>
      </c>
      <c r="U12" s="1">
        <f t="shared" ca="1" si="2"/>
        <v>-38036839.127786875</v>
      </c>
      <c r="V12" s="1">
        <f t="shared" ca="1" si="2"/>
        <v>-39525000.021146089</v>
      </c>
      <c r="W12" s="1">
        <f t="shared" ca="1" si="2"/>
        <v>-40869542.064880043</v>
      </c>
      <c r="X12" s="1">
        <f t="shared" ca="1" si="2"/>
        <v>-42043873.611817926</v>
      </c>
      <c r="Y12" s="1">
        <f t="shared" ca="1" si="2"/>
        <v>-43677969.681989193</v>
      </c>
      <c r="Z12" s="1">
        <f t="shared" ca="1" si="2"/>
        <v>-45178012.887843192</v>
      </c>
      <c r="AA12" s="1">
        <f t="shared" ca="1" si="2"/>
        <v>-47251841.719441831</v>
      </c>
      <c r="AB12" s="1">
        <f t="shared" ca="1" si="2"/>
        <v>-49243775.901611924</v>
      </c>
      <c r="AC12" s="1">
        <f t="shared" ca="1" si="2"/>
        <v>-51133621.709396034</v>
      </c>
      <c r="AD12" s="1">
        <f t="shared" ca="1" si="2"/>
        <v>-52899202.438461423</v>
      </c>
      <c r="AE12" s="1">
        <f t="shared" ca="1" si="2"/>
        <v>-54516208.889881015</v>
      </c>
      <c r="AF12" s="1">
        <f t="shared" ca="1" si="2"/>
        <v>-55958039.983432651</v>
      </c>
      <c r="AG12" s="1"/>
      <c r="AH12" s="1"/>
      <c r="AI12" s="1"/>
      <c r="AJ12" s="1"/>
      <c r="AK12" s="1"/>
      <c r="AL12" s="1"/>
      <c r="AM12" s="1"/>
      <c r="AN12" s="1"/>
      <c r="AO12" s="1"/>
      <c r="AP12" s="1"/>
    </row>
    <row r="13" spans="1:42" x14ac:dyDescent="0.35">
      <c r="A13" t="s">
        <v>19</v>
      </c>
      <c r="C13" s="1">
        <f ca="1">C12</f>
        <v>-56822740.08857315</v>
      </c>
      <c r="D13" s="1">
        <f ca="1">D12</f>
        <v>-54274868.382856838</v>
      </c>
      <c r="E13" s="1">
        <f ca="1">E12</f>
        <v>-51213031.403328553</v>
      </c>
      <c r="F13" s="1">
        <f t="shared" ref="F13:AF13" ca="1" si="3">F12</f>
        <v>-46714867.380341351</v>
      </c>
      <c r="G13" s="1">
        <f ca="1">G12</f>
        <v>-39312698.767876714</v>
      </c>
      <c r="H13" s="1">
        <f t="shared" ca="1" si="3"/>
        <v>-31182719.231175333</v>
      </c>
      <c r="I13" s="1">
        <f t="shared" ca="1" si="3"/>
        <v>-29087328.363665983</v>
      </c>
      <c r="J13" s="1">
        <f t="shared" ca="1" si="3"/>
        <v>-26034360.735567391</v>
      </c>
      <c r="K13" s="1">
        <f t="shared" ca="1" si="3"/>
        <v>-24729195.341721147</v>
      </c>
      <c r="L13" s="1">
        <f t="shared" ca="1" si="3"/>
        <v>-24343697.194569647</v>
      </c>
      <c r="M13" s="1">
        <f t="shared" ca="1" si="3"/>
        <v>-25208856.696310848</v>
      </c>
      <c r="N13" s="1">
        <f t="shared" ca="1" si="3"/>
        <v>-25889438.966935724</v>
      </c>
      <c r="O13" s="1">
        <f t="shared" ca="1" si="3"/>
        <v>-27300283.553511709</v>
      </c>
      <c r="P13" s="1">
        <f t="shared" ca="1" si="3"/>
        <v>-29214253.021201938</v>
      </c>
      <c r="Q13" s="1">
        <f t="shared" ca="1" si="3"/>
        <v>-31099588.337362021</v>
      </c>
      <c r="R13" s="1">
        <f t="shared" ca="1" si="3"/>
        <v>-32941663.199970752</v>
      </c>
      <c r="S13" s="1">
        <f t="shared" ca="1" si="3"/>
        <v>-34724223.764378026</v>
      </c>
      <c r="T13" s="1">
        <f t="shared" ca="1" si="3"/>
        <v>-36429255.26162219</v>
      </c>
      <c r="U13" s="1">
        <f t="shared" ca="1" si="3"/>
        <v>-38036839.127786875</v>
      </c>
      <c r="V13" s="1">
        <f t="shared" ca="1" si="3"/>
        <v>-39525000.021146089</v>
      </c>
      <c r="W13" s="1">
        <f t="shared" ca="1" si="3"/>
        <v>-40869542.064880043</v>
      </c>
      <c r="X13" s="1">
        <f t="shared" ca="1" si="3"/>
        <v>-42043873.611817926</v>
      </c>
      <c r="Y13" s="1">
        <f t="shared" ca="1" si="3"/>
        <v>-43677969.681989193</v>
      </c>
      <c r="Z13" s="1">
        <f t="shared" ca="1" si="3"/>
        <v>-45178012.887843192</v>
      </c>
      <c r="AA13" s="1">
        <f t="shared" ca="1" si="3"/>
        <v>-47251841.719441831</v>
      </c>
      <c r="AB13" s="1">
        <f t="shared" ca="1" si="3"/>
        <v>-49243775.901611924</v>
      </c>
      <c r="AC13" s="1">
        <f t="shared" ca="1" si="3"/>
        <v>-51133621.709396034</v>
      </c>
      <c r="AD13" s="1">
        <f t="shared" ca="1" si="3"/>
        <v>-52899202.438461423</v>
      </c>
      <c r="AE13" s="1">
        <f t="shared" ca="1" si="3"/>
        <v>-54516208.889881015</v>
      </c>
      <c r="AF13" s="1">
        <f t="shared" ca="1" si="3"/>
        <v>-55958039.983432651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710104235.83749998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355052117.91874999</v>
      </c>
      <c r="D7" s="9">
        <f>C12</f>
        <v>367289376.10272115</v>
      </c>
      <c r="E7" s="9">
        <f>D12</f>
        <v>381460033.25870538</v>
      </c>
      <c r="F7" s="9">
        <f t="shared" ref="F7:H7" si="1">E12</f>
        <v>397675295.96853101</v>
      </c>
      <c r="G7" s="9">
        <f t="shared" si="1"/>
        <v>416051508.2347163</v>
      </c>
      <c r="H7" s="9">
        <f t="shared" si="1"/>
        <v>436710366.39985329</v>
      </c>
      <c r="I7" s="9">
        <f t="shared" ref="I7" si="2">H12</f>
        <v>459779142.56011432</v>
      </c>
      <c r="J7" s="9">
        <f t="shared" ref="J7" si="3">I12</f>
        <v>485390916.7964263</v>
      </c>
      <c r="K7" s="9">
        <f t="shared" ref="K7" si="4">J12</f>
        <v>513684818.55886829</v>
      </c>
      <c r="L7" s="9">
        <f t="shared" ref="L7" si="5">K12</f>
        <v>544806277.55229473</v>
      </c>
      <c r="M7" s="9">
        <f t="shared" ref="M7" si="6">L12</f>
        <v>578907284.48408377</v>
      </c>
      <c r="N7" s="9">
        <f t="shared" ref="N7" si="7">M12</f>
        <v>616146662.04828143</v>
      </c>
      <c r="O7" s="9">
        <f t="shared" ref="O7" si="8">N12</f>
        <v>656690346.53426373</v>
      </c>
      <c r="P7" s="9">
        <f t="shared" ref="P7" si="9">O12</f>
        <v>700711680.46239913</v>
      </c>
      <c r="Q7" s="9">
        <f t="shared" ref="Q7" si="10">P12</f>
        <v>748391716.66407168</v>
      </c>
      <c r="R7" s="9">
        <f t="shared" ref="R7" si="11">Q12</f>
        <v>799919534.23884559</v>
      </c>
      <c r="S7" s="9">
        <f t="shared" ref="S7" si="12">R12</f>
        <v>855492566.83752847</v>
      </c>
      <c r="T7" s="9">
        <f t="shared" ref="T7" si="13">S12</f>
        <v>915316943.73645425</v>
      </c>
      <c r="U7" s="9">
        <f t="shared" ref="U7" si="14">T12</f>
        <v>979607844.18545735</v>
      </c>
      <c r="V7" s="9">
        <f t="shared" ref="V7" si="15">U12</f>
        <v>1048589865.5297982</v>
      </c>
      <c r="W7" s="9">
        <f t="shared" ref="W7" si="16">V12</f>
        <v>1122497405.6247184</v>
      </c>
      <c r="X7" s="9">
        <f t="shared" ref="X7" si="17">W12</f>
        <v>1201575060.0803986</v>
      </c>
      <c r="Y7" s="9">
        <f t="shared" ref="Y7" si="18">X12</f>
        <v>1286078034.8948703</v>
      </c>
      <c r="Z7" s="9">
        <f t="shared" ref="Z7" si="19">Y12</f>
        <v>1376272575.0529337</v>
      </c>
      <c r="AA7" s="9">
        <f t="shared" ref="AA7" si="20">Z12</f>
        <v>1472436409.6903682</v>
      </c>
      <c r="AB7" s="9">
        <f t="shared" ref="AB7" si="21">AA12</f>
        <v>1574859214.4447322</v>
      </c>
      <c r="AC7" s="9">
        <f t="shared" ref="AC7" si="22">AB12</f>
        <v>1683843091.6368401</v>
      </c>
      <c r="AD7" s="9">
        <f t="shared" ref="AD7" si="23">AC12</f>
        <v>1799703068.9506392</v>
      </c>
      <c r="AE7" s="9">
        <f t="shared" ref="AE7" si="24">AD12</f>
        <v>1922767617.303673</v>
      </c>
      <c r="AF7" s="9">
        <f t="shared" ref="AF7" si="25">AE12</f>
        <v>2053379188.6256833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10743259.433849186</v>
      </c>
      <c r="D8" s="9">
        <f>Assumptions!E111*Assumptions!E11</f>
        <v>11087043.735732358</v>
      </c>
      <c r="E8" s="9">
        <f>Assumptions!F111*Assumptions!F11</f>
        <v>11441829.135275792</v>
      </c>
      <c r="F8" s="9">
        <f>Assumptions!G111*Assumptions!G11</f>
        <v>11807967.667604618</v>
      </c>
      <c r="G8" s="9">
        <f>Assumptions!H111*Assumptions!H11</f>
        <v>12185822.632967968</v>
      </c>
      <c r="H8" s="9">
        <f>Assumptions!I111*Assumptions!I11</f>
        <v>12575768.95722294</v>
      </c>
      <c r="I8" s="9">
        <f>Assumptions!J111*Assumptions!J11</f>
        <v>12978193.563854074</v>
      </c>
      <c r="J8" s="9">
        <f>Assumptions!K111*Assumptions!K11</f>
        <v>13393495.757897405</v>
      </c>
      <c r="K8" s="9">
        <f>Assumptions!L111*Assumptions!L11</f>
        <v>13822087.622150123</v>
      </c>
      <c r="L8" s="9">
        <f>Assumptions!M111*Assumptions!M11</f>
        <v>14264394.426058926</v>
      </c>
      <c r="M8" s="9">
        <f>Assumptions!N111*Assumptions!N11</f>
        <v>14720855.047692811</v>
      </c>
      <c r="N8" s="9">
        <f>Assumptions!O111*Assumptions!O11</f>
        <v>15191922.409218982</v>
      </c>
      <c r="O8" s="9">
        <f>Assumptions!P111*Assumptions!P11</f>
        <v>15678063.926313991</v>
      </c>
      <c r="P8" s="9">
        <f>Assumptions!Q111*Assumptions!Q11</f>
        <v>16179761.971956035</v>
      </c>
      <c r="Q8" s="9">
        <f>Assumptions!R111*Assumptions!R11</f>
        <v>16697514.355058625</v>
      </c>
      <c r="R8" s="9">
        <f>Assumptions!S111*Assumptions!S11</f>
        <v>17231834.814420506</v>
      </c>
      <c r="S8" s="9">
        <f>Assumptions!T111*Assumptions!T11</f>
        <v>17783253.528481964</v>
      </c>
      <c r="T8" s="9">
        <f>Assumptions!U111*Assumptions!U11</f>
        <v>18352317.641393386</v>
      </c>
      <c r="U8" s="9">
        <f>Assumptions!V111*Assumptions!V11</f>
        <v>18939591.805917971</v>
      </c>
      <c r="V8" s="9">
        <f>Assumptions!W111*Assumptions!W11</f>
        <v>19545658.743707348</v>
      </c>
      <c r="W8" s="9">
        <f>Assumptions!X111*Assumptions!X11</f>
        <v>20171119.823505986</v>
      </c>
      <c r="X8" s="9">
        <f>Assumptions!Y111*Assumptions!Y11</f>
        <v>20816595.657858174</v>
      </c>
      <c r="Y8" s="9">
        <f>Assumptions!Z111*Assumptions!Z11</f>
        <v>21482726.718909632</v>
      </c>
      <c r="Z8" s="9">
        <f>Assumptions!AA111*Assumptions!AA11</f>
        <v>22170173.973914742</v>
      </c>
      <c r="AA8" s="9">
        <f>Assumptions!AB111*Assumptions!AB11</f>
        <v>22879619.54108002</v>
      </c>
      <c r="AB8" s="9">
        <f>Assumptions!AC111*Assumptions!AC11</f>
        <v>23611767.366394576</v>
      </c>
      <c r="AC8" s="9">
        <f>Assumptions!AD111*Assumptions!AD11</f>
        <v>24367343.9221192</v>
      </c>
      <c r="AD8" s="9">
        <f>Assumptions!AE111*Assumptions!AE11</f>
        <v>25147098.927627016</v>
      </c>
      <c r="AE8" s="9">
        <f>Assumptions!AF111*Assumptions!AF11</f>
        <v>25951806.093311083</v>
      </c>
      <c r="AF8" s="9">
        <f>Assumptions!AG111*Assumptions!AG11</f>
        <v>26782263.888297033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1493998.7501220265</v>
      </c>
      <c r="D9" s="9">
        <f>Assumptions!E120*Assumptions!E11</f>
        <v>3083613.4202518626</v>
      </c>
      <c r="E9" s="9">
        <f>Assumptions!F120*Assumptions!F11</f>
        <v>4773433.5745498836</v>
      </c>
      <c r="F9" s="9">
        <f>Assumptions!G120*Assumptions!G11</f>
        <v>6568244.5985806389</v>
      </c>
      <c r="G9" s="9">
        <f>Assumptions!H120*Assumptions!H11</f>
        <v>8473035.5321690273</v>
      </c>
      <c r="H9" s="9">
        <f>Assumptions!I120*Assumptions!I11</f>
        <v>10493007.203038123</v>
      </c>
      <c r="I9" s="9">
        <f>Assumptions!J120*Assumptions!J11</f>
        <v>12633580.672457894</v>
      </c>
      <c r="J9" s="9">
        <f>Assumptions!K120*Assumptions!K11</f>
        <v>14900406.004544627</v>
      </c>
      <c r="K9" s="9">
        <f>Assumptions!L120*Assumptions!L11</f>
        <v>17299371.371276315</v>
      </c>
      <c r="L9" s="9">
        <f>Assumptions!M120*Assumptions!M11</f>
        <v>19836612.505730174</v>
      </c>
      <c r="M9" s="9">
        <f>Assumptions!N120*Assumptions!N11</f>
        <v>22518522.516504891</v>
      </c>
      <c r="N9" s="9">
        <f>Assumptions!O120*Assumptions!O11</f>
        <v>25351762.076763328</v>
      </c>
      <c r="O9" s="9">
        <f>Assumptions!P120*Assumptions!P11</f>
        <v>28343270.001821399</v>
      </c>
      <c r="P9" s="9">
        <f>Assumptions!Q120*Assumptions!Q11</f>
        <v>31500274.229716577</v>
      </c>
      <c r="Q9" s="9">
        <f>Assumptions!R120*Assumptions!R11</f>
        <v>34830303.219715185</v>
      </c>
      <c r="R9" s="9">
        <f>Assumptions!S120*Assumptions!S11</f>
        <v>38341197.784262478</v>
      </c>
      <c r="S9" s="9">
        <f>Assumptions!T120*Assumptions!T11</f>
        <v>42041123.370443814</v>
      </c>
      <c r="T9" s="9">
        <f>Assumptions!U120*Assumptions!U11</f>
        <v>45938582.807609662</v>
      </c>
      <c r="U9" s="9">
        <f>Assumptions!V120*Assumptions!V11</f>
        <v>50042429.538422778</v>
      </c>
      <c r="V9" s="9">
        <f>Assumptions!W120*Assumptions!W11</f>
        <v>54361881.351212971</v>
      </c>
      <c r="W9" s="9">
        <f>Assumptions!X120*Assumptions!X11</f>
        <v>58906534.632174373</v>
      </c>
      <c r="X9" s="9">
        <f>Assumptions!Y120*Assumptions!Y11</f>
        <v>63686379.156613663</v>
      </c>
      <c r="Y9" s="9">
        <f>Assumptions!Z120*Assumptions!Z11</f>
        <v>68711813.439153716</v>
      </c>
      <c r="Z9" s="9">
        <f>Assumptions!AA120*Assumptions!AA11</f>
        <v>73993660.663519979</v>
      </c>
      <c r="AA9" s="9">
        <f>Assumptions!AB120*Assumptions!AB11</f>
        <v>79543185.213283986</v>
      </c>
      <c r="AB9" s="9">
        <f>Assumptions!AC120*Assumptions!AC11</f>
        <v>85372109.825713411</v>
      </c>
      <c r="AC9" s="9">
        <f>Assumptions!AD120*Assumptions!AD11</f>
        <v>91492633.391679943</v>
      </c>
      <c r="AD9" s="9">
        <f>Assumptions!AE120*Assumptions!AE11</f>
        <v>97917449.425406799</v>
      </c>
      <c r="AE9" s="9">
        <f>Assumptions!AF120*Assumptions!AF11</f>
        <v>104659765.22869912</v>
      </c>
      <c r="AF9" s="9">
        <f>Assumptions!AG120*Assumptions!AG11</f>
        <v>111733321.77519049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12237258.183971211</v>
      </c>
      <c r="D10" s="9">
        <f>SUM($C$8:D9)</f>
        <v>26407915.33995543</v>
      </c>
      <c r="E10" s="9">
        <f>SUM($C$8:E9)</f>
        <v>42623178.049781106</v>
      </c>
      <c r="F10" s="9">
        <f>SUM($C$8:F9)</f>
        <v>60999390.31596636</v>
      </c>
      <c r="G10" s="9">
        <f>SUM($C$8:G9)</f>
        <v>81658248.481103361</v>
      </c>
      <c r="H10" s="9">
        <f>SUM($C$8:H9)</f>
        <v>104727024.64136443</v>
      </c>
      <c r="I10" s="9">
        <f>SUM($C$8:I9)</f>
        <v>130338798.87767638</v>
      </c>
      <c r="J10" s="9">
        <f>SUM($C$8:J9)</f>
        <v>158632700.64011842</v>
      </c>
      <c r="K10" s="9">
        <f>SUM($C$8:K9)</f>
        <v>189754159.63354486</v>
      </c>
      <c r="L10" s="9">
        <f>SUM($C$8:L9)</f>
        <v>223855166.56533393</v>
      </c>
      <c r="M10" s="9">
        <f>SUM($C$8:M9)</f>
        <v>261094544.12953165</v>
      </c>
      <c r="N10" s="9">
        <f>SUM($C$8:N9)</f>
        <v>301638228.61551398</v>
      </c>
      <c r="O10" s="9">
        <f>SUM($C$8:O9)</f>
        <v>345659562.54364938</v>
      </c>
      <c r="P10" s="9">
        <f>SUM($C$8:P9)</f>
        <v>393339598.74532199</v>
      </c>
      <c r="Q10" s="9">
        <f>SUM($C$8:Q9)</f>
        <v>444867416.32009578</v>
      </c>
      <c r="R10" s="9">
        <f>SUM($C$8:R9)</f>
        <v>500440448.91877884</v>
      </c>
      <c r="S10" s="9">
        <f>SUM($C$8:S9)</f>
        <v>560264825.81770456</v>
      </c>
      <c r="T10" s="9">
        <f>SUM($C$8:T9)</f>
        <v>624555726.26670766</v>
      </c>
      <c r="U10" s="9">
        <f>SUM($C$8:U9)</f>
        <v>693537747.61104834</v>
      </c>
      <c r="V10" s="9">
        <f>SUM($C$8:V9)</f>
        <v>767445287.70596874</v>
      </c>
      <c r="W10" s="9">
        <f>SUM($C$8:W9)</f>
        <v>846522942.16164923</v>
      </c>
      <c r="X10" s="9">
        <f>SUM($C$8:X9)</f>
        <v>931025916.97612107</v>
      </c>
      <c r="Y10" s="9">
        <f>SUM($C$8:Y9)</f>
        <v>1021220457.1341842</v>
      </c>
      <c r="Z10" s="9">
        <f>SUM($C$8:Z9)</f>
        <v>1117384291.7716191</v>
      </c>
      <c r="AA10" s="9">
        <f>SUM($C$8:AA9)</f>
        <v>1219807096.5259829</v>
      </c>
      <c r="AB10" s="9">
        <f>SUM($C$8:AB9)</f>
        <v>1328790973.7180912</v>
      </c>
      <c r="AC10" s="9">
        <f>SUM($C$8:AC9)</f>
        <v>1444650951.0318904</v>
      </c>
      <c r="AD10" s="9">
        <f>SUM($C$8:AD9)</f>
        <v>1567715499.3849242</v>
      </c>
      <c r="AE10" s="9">
        <f>SUM($C$8:AE9)</f>
        <v>1698327070.7069342</v>
      </c>
      <c r="AF10" s="9">
        <f>SUM($C$8:AF9)</f>
        <v>1836842656.3704214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367289376.10272115</v>
      </c>
      <c r="D12" s="9">
        <f>D7+D8+D9</f>
        <v>381460033.25870538</v>
      </c>
      <c r="E12" s="9">
        <f>E7+E8+E9</f>
        <v>397675295.96853101</v>
      </c>
      <c r="F12" s="9">
        <f t="shared" ref="F12:H12" si="26">F7+F8+F9</f>
        <v>416051508.2347163</v>
      </c>
      <c r="G12" s="9">
        <f t="shared" si="26"/>
        <v>436710366.39985329</v>
      </c>
      <c r="H12" s="9">
        <f t="shared" si="26"/>
        <v>459779142.56011432</v>
      </c>
      <c r="I12" s="9">
        <f t="shared" ref="I12:AF12" si="27">I7+I8+I9</f>
        <v>485390916.7964263</v>
      </c>
      <c r="J12" s="9">
        <f t="shared" si="27"/>
        <v>513684818.55886829</v>
      </c>
      <c r="K12" s="9">
        <f t="shared" si="27"/>
        <v>544806277.55229473</v>
      </c>
      <c r="L12" s="9">
        <f t="shared" si="27"/>
        <v>578907284.48408377</v>
      </c>
      <c r="M12" s="9">
        <f t="shared" si="27"/>
        <v>616146662.04828143</v>
      </c>
      <c r="N12" s="9">
        <f t="shared" si="27"/>
        <v>656690346.53426373</v>
      </c>
      <c r="O12" s="9">
        <f t="shared" si="27"/>
        <v>700711680.46239913</v>
      </c>
      <c r="P12" s="9">
        <f t="shared" si="27"/>
        <v>748391716.66407168</v>
      </c>
      <c r="Q12" s="9">
        <f t="shared" si="27"/>
        <v>799919534.23884559</v>
      </c>
      <c r="R12" s="9">
        <f t="shared" si="27"/>
        <v>855492566.83752847</v>
      </c>
      <c r="S12" s="9">
        <f t="shared" si="27"/>
        <v>915316943.73645425</v>
      </c>
      <c r="T12" s="9">
        <f t="shared" si="27"/>
        <v>979607844.18545735</v>
      </c>
      <c r="U12" s="9">
        <f t="shared" si="27"/>
        <v>1048589865.5297982</v>
      </c>
      <c r="V12" s="9">
        <f t="shared" si="27"/>
        <v>1122497405.6247184</v>
      </c>
      <c r="W12" s="9">
        <f t="shared" si="27"/>
        <v>1201575060.0803986</v>
      </c>
      <c r="X12" s="9">
        <f t="shared" si="27"/>
        <v>1286078034.8948703</v>
      </c>
      <c r="Y12" s="9">
        <f t="shared" si="27"/>
        <v>1376272575.0529337</v>
      </c>
      <c r="Z12" s="9">
        <f t="shared" si="27"/>
        <v>1472436409.6903682</v>
      </c>
      <c r="AA12" s="9">
        <f t="shared" si="27"/>
        <v>1574859214.4447322</v>
      </c>
      <c r="AB12" s="9">
        <f t="shared" si="27"/>
        <v>1683843091.6368401</v>
      </c>
      <c r="AC12" s="9">
        <f t="shared" si="27"/>
        <v>1799703068.9506392</v>
      </c>
      <c r="AD12" s="9">
        <f t="shared" si="27"/>
        <v>1922767617.303673</v>
      </c>
      <c r="AE12" s="9">
        <f t="shared" si="27"/>
        <v>2053379188.6256833</v>
      </c>
      <c r="AF12" s="9">
        <f t="shared" si="27"/>
        <v>2191894774.2891707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74487206.105722323</v>
      </c>
      <c r="D18" s="9">
        <f>Investment!D25</f>
        <v>78412603.411231369</v>
      </c>
      <c r="E18" s="9">
        <f>Investment!E25</f>
        <v>82512951.245240733</v>
      </c>
      <c r="F18" s="9">
        <f>Investment!F25</f>
        <v>86795426.83473359</v>
      </c>
      <c r="G18" s="9">
        <f>Investment!G25</f>
        <v>91267487.599878877</v>
      </c>
      <c r="H18" s="9">
        <f>Investment!H25</f>
        <v>95936881.736914679</v>
      </c>
      <c r="I18" s="9">
        <f>Investment!I25</f>
        <v>100811659.19141848</v>
      </c>
      <c r="J18" s="9">
        <f>Investment!J25</f>
        <v>105900183.03611198</v>
      </c>
      <c r="K18" s="9">
        <f>Investment!K25</f>
        <v>111211141.26785383</v>
      </c>
      <c r="L18" s="9">
        <f>Investment!L25</f>
        <v>116753559.03899816</v>
      </c>
      <c r="M18" s="9">
        <f>Investment!M25</f>
        <v>122536811.33883744</v>
      </c>
      <c r="N18" s="9">
        <f>Investment!N25</f>
        <v>128570636.14141053</v>
      </c>
      <c r="O18" s="9">
        <f>Investment!O25</f>
        <v>134865148.03653732</v>
      </c>
      <c r="P18" s="9">
        <f>Investment!P25</f>
        <v>141430852.36154339</v>
      </c>
      <c r="Q18" s="9">
        <f>Investment!Q25</f>
        <v>148278659.85176045</v>
      </c>
      <c r="R18" s="9">
        <f>Investment!R25</f>
        <v>155419901.8285332</v>
      </c>
      <c r="S18" s="9">
        <f>Investment!S25</f>
        <v>162866345.9441312</v>
      </c>
      <c r="T18" s="9">
        <f>Investment!T25</f>
        <v>170630212.50365502</v>
      </c>
      <c r="U18" s="9">
        <f>Investment!U25</f>
        <v>178724191.3847416</v>
      </c>
      <c r="V18" s="9">
        <f>Investment!V25</f>
        <v>187161459.57661399</v>
      </c>
      <c r="W18" s="9">
        <f>Investment!W25</f>
        <v>195955699.36078826</v>
      </c>
      <c r="X18" s="9">
        <f>Investment!X25</f>
        <v>205121117.1565432</v>
      </c>
      <c r="Y18" s="9">
        <f>Investment!Y25</f>
        <v>214672463.05508095</v>
      </c>
      <c r="Z18" s="9">
        <f>Investment!Z25</f>
        <v>224625051.06715688</v>
      </c>
      <c r="AA18" s="9">
        <f>Investment!AA25</f>
        <v>234994780.10983732</v>
      </c>
      <c r="AB18" s="9">
        <f>Investment!AB25</f>
        <v>245798155.75895643</v>
      </c>
      <c r="AC18" s="9">
        <f>Investment!AC25</f>
        <v>257052312.79478672</v>
      </c>
      <c r="AD18" s="9">
        <f>Investment!AD25</f>
        <v>268775038.56941301</v>
      </c>
      <c r="AE18" s="9">
        <f>Investment!AE25</f>
        <v>280984797.22531354</v>
      </c>
      <c r="AF18" s="9">
        <f>Investment!AF25</f>
        <v>293700754.7956965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429539324.0244723</v>
      </c>
      <c r="D19" s="9">
        <f>D18+C20</f>
        <v>495714669.25173247</v>
      </c>
      <c r="E19" s="9">
        <f>E18+D20</f>
        <v>564056963.34098899</v>
      </c>
      <c r="F19" s="9">
        <f t="shared" ref="F19:AF19" si="28">F18+E20</f>
        <v>634637127.46589684</v>
      </c>
      <c r="G19" s="9">
        <f t="shared" si="28"/>
        <v>707528402.79959059</v>
      </c>
      <c r="H19" s="9">
        <f t="shared" si="28"/>
        <v>782806426.37136829</v>
      </c>
      <c r="I19" s="9">
        <f t="shared" si="28"/>
        <v>860549309.40252578</v>
      </c>
      <c r="J19" s="9">
        <f t="shared" si="28"/>
        <v>940837718.2023257</v>
      </c>
      <c r="K19" s="9">
        <f t="shared" si="28"/>
        <v>1023754957.7077376</v>
      </c>
      <c r="L19" s="9">
        <f t="shared" si="28"/>
        <v>1109387057.7533095</v>
      </c>
      <c r="M19" s="9">
        <f t="shared" si="28"/>
        <v>1197822862.1603577</v>
      </c>
      <c r="N19" s="9">
        <f t="shared" si="28"/>
        <v>1289154120.7375705</v>
      </c>
      <c r="O19" s="9">
        <f t="shared" si="28"/>
        <v>1383475584.2881255</v>
      </c>
      <c r="P19" s="9">
        <f t="shared" si="28"/>
        <v>1480885102.7215335</v>
      </c>
      <c r="Q19" s="9">
        <f t="shared" si="28"/>
        <v>1581483726.3716214</v>
      </c>
      <c r="R19" s="9">
        <f t="shared" si="28"/>
        <v>1685375810.6253808</v>
      </c>
      <c r="S19" s="9">
        <f t="shared" si="28"/>
        <v>1792669123.970829</v>
      </c>
      <c r="T19" s="9">
        <f t="shared" si="28"/>
        <v>1903474959.5755582</v>
      </c>
      <c r="U19" s="9">
        <f t="shared" si="28"/>
        <v>2017908250.5112967</v>
      </c>
      <c r="V19" s="9">
        <f t="shared" si="28"/>
        <v>2136087688.7435699</v>
      </c>
      <c r="W19" s="9">
        <f t="shared" si="28"/>
        <v>2258135848.0094376</v>
      </c>
      <c r="X19" s="9">
        <f t="shared" si="28"/>
        <v>2384179310.7103004</v>
      </c>
      <c r="Y19" s="9">
        <f t="shared" si="28"/>
        <v>2514348798.9509091</v>
      </c>
      <c r="Z19" s="9">
        <f t="shared" si="28"/>
        <v>2648779309.8600025</v>
      </c>
      <c r="AA19" s="9">
        <f t="shared" si="28"/>
        <v>2787610255.3324056</v>
      </c>
      <c r="AB19" s="9">
        <f t="shared" si="28"/>
        <v>2930985606.336998</v>
      </c>
      <c r="AC19" s="9">
        <f t="shared" si="28"/>
        <v>3079054041.9396768</v>
      </c>
      <c r="AD19" s="9">
        <f t="shared" si="28"/>
        <v>3231969103.195291</v>
      </c>
      <c r="AE19" s="9">
        <f t="shared" si="28"/>
        <v>3389889352.0675707</v>
      </c>
      <c r="AF19" s="9">
        <f t="shared" si="28"/>
        <v>3552978535.5412569</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417302065.84050113</v>
      </c>
      <c r="D20" s="9">
        <f>D19-D8-D9</f>
        <v>481544012.09574825</v>
      </c>
      <c r="E20" s="9">
        <f t="shared" ref="E20:AF20" si="29">E19-E8-E9</f>
        <v>547841700.63116324</v>
      </c>
      <c r="F20" s="9">
        <f t="shared" si="29"/>
        <v>616260915.19971168</v>
      </c>
      <c r="G20" s="9">
        <f t="shared" si="29"/>
        <v>686869544.63445365</v>
      </c>
      <c r="H20" s="9">
        <f t="shared" si="29"/>
        <v>759737650.21110725</v>
      </c>
      <c r="I20" s="9">
        <f t="shared" si="29"/>
        <v>834937535.16621375</v>
      </c>
      <c r="J20" s="9">
        <f t="shared" si="29"/>
        <v>912543816.43988371</v>
      </c>
      <c r="K20" s="9">
        <f t="shared" si="29"/>
        <v>992633498.71431124</v>
      </c>
      <c r="L20" s="9">
        <f t="shared" si="29"/>
        <v>1075286050.8215203</v>
      </c>
      <c r="M20" s="9">
        <f t="shared" si="29"/>
        <v>1160583484.5961599</v>
      </c>
      <c r="N20" s="9">
        <f t="shared" si="29"/>
        <v>1248610436.2515881</v>
      </c>
      <c r="O20" s="9">
        <f t="shared" si="29"/>
        <v>1339454250.3599901</v>
      </c>
      <c r="P20" s="9">
        <f t="shared" si="29"/>
        <v>1433205066.519861</v>
      </c>
      <c r="Q20" s="9">
        <f t="shared" si="29"/>
        <v>1529955908.7968476</v>
      </c>
      <c r="R20" s="9">
        <f t="shared" si="29"/>
        <v>1629802778.0266979</v>
      </c>
      <c r="S20" s="9">
        <f t="shared" si="29"/>
        <v>1732844747.0719032</v>
      </c>
      <c r="T20" s="9">
        <f t="shared" si="29"/>
        <v>1839184059.1265552</v>
      </c>
      <c r="U20" s="9">
        <f t="shared" si="29"/>
        <v>1948926229.1669559</v>
      </c>
      <c r="V20" s="9">
        <f t="shared" si="29"/>
        <v>2062180148.6486495</v>
      </c>
      <c r="W20" s="9">
        <f t="shared" si="29"/>
        <v>2179058193.5537572</v>
      </c>
      <c r="X20" s="9">
        <f t="shared" si="29"/>
        <v>2299676335.8958282</v>
      </c>
      <c r="Y20" s="9">
        <f t="shared" si="29"/>
        <v>2424154258.7928457</v>
      </c>
      <c r="Z20" s="9">
        <f t="shared" si="29"/>
        <v>2552615475.222568</v>
      </c>
      <c r="AA20" s="9">
        <f t="shared" si="29"/>
        <v>2685187450.5780416</v>
      </c>
      <c r="AB20" s="9">
        <f t="shared" si="29"/>
        <v>2822001729.1448898</v>
      </c>
      <c r="AC20" s="9">
        <f t="shared" si="29"/>
        <v>2963194064.6258779</v>
      </c>
      <c r="AD20" s="9">
        <f t="shared" si="29"/>
        <v>3108904554.842257</v>
      </c>
      <c r="AE20" s="9">
        <f t="shared" si="29"/>
        <v>3259277780.7455602</v>
      </c>
      <c r="AF20" s="9">
        <f t="shared" si="29"/>
        <v>3414462949.8777695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14704000</v>
      </c>
      <c r="D22" s="9">
        <f ca="1">'Balance Sheet'!C11</f>
        <v>71526740.088573158</v>
      </c>
      <c r="E22" s="9">
        <f ca="1">'Balance Sheet'!D11</f>
        <v>125801608.47143</v>
      </c>
      <c r="F22" s="9">
        <f ca="1">'Balance Sheet'!E11</f>
        <v>177014639.87475854</v>
      </c>
      <c r="G22" s="9">
        <f ca="1">'Balance Sheet'!F11</f>
        <v>223729507.25509989</v>
      </c>
      <c r="H22" s="9">
        <f ca="1">'Balance Sheet'!G11</f>
        <v>263042206.02297661</v>
      </c>
      <c r="I22" s="9">
        <f ca="1">'Balance Sheet'!H11</f>
        <v>294224925.25415194</v>
      </c>
      <c r="J22" s="9">
        <f ca="1">'Balance Sheet'!I11</f>
        <v>323312253.61781794</v>
      </c>
      <c r="K22" s="9">
        <f ca="1">'Balance Sheet'!J11</f>
        <v>349346614.35338533</v>
      </c>
      <c r="L22" s="9">
        <f ca="1">'Balance Sheet'!K11</f>
        <v>374075809.69510651</v>
      </c>
      <c r="M22" s="9">
        <f ca="1">'Balance Sheet'!L11</f>
        <v>398419506.88967615</v>
      </c>
      <c r="N22" s="9">
        <f ca="1">'Balance Sheet'!M11</f>
        <v>423628363.58598697</v>
      </c>
      <c r="O22" s="9">
        <f ca="1">'Balance Sheet'!N11</f>
        <v>449517802.55292273</v>
      </c>
      <c r="P22" s="9">
        <f ca="1">'Balance Sheet'!O11</f>
        <v>476818086.10643446</v>
      </c>
      <c r="Q22" s="9">
        <f ca="1">'Balance Sheet'!P11</f>
        <v>506032339.12763643</v>
      </c>
      <c r="R22" s="9">
        <f ca="1">'Balance Sheet'!Q11</f>
        <v>537131927.46499848</v>
      </c>
      <c r="S22" s="9">
        <f ca="1">'Balance Sheet'!R11</f>
        <v>570073590.66496921</v>
      </c>
      <c r="T22" s="9">
        <f ca="1">'Balance Sheet'!S11</f>
        <v>604797814.42934728</v>
      </c>
      <c r="U22" s="9">
        <f ca="1">'Balance Sheet'!T11</f>
        <v>641227069.69096947</v>
      </c>
      <c r="V22" s="9">
        <f ca="1">'Balance Sheet'!U11</f>
        <v>679263908.81875634</v>
      </c>
      <c r="W22" s="9">
        <f ca="1">'Balance Sheet'!V11</f>
        <v>718788908.8399024</v>
      </c>
      <c r="X22" s="9">
        <f ca="1">'Balance Sheet'!W11</f>
        <v>759658450.90478241</v>
      </c>
      <c r="Y22" s="9">
        <f ca="1">'Balance Sheet'!X11</f>
        <v>801702324.51660037</v>
      </c>
      <c r="Z22" s="9">
        <f ca="1">'Balance Sheet'!Y11</f>
        <v>845380294.19858956</v>
      </c>
      <c r="AA22" s="9">
        <f ca="1">'Balance Sheet'!Z11</f>
        <v>890558307.0864327</v>
      </c>
      <c r="AB22" s="9">
        <f ca="1">'Balance Sheet'!AA11</f>
        <v>937810148.80587459</v>
      </c>
      <c r="AC22" s="9">
        <f ca="1">'Balance Sheet'!AB11</f>
        <v>987053924.70748651</v>
      </c>
      <c r="AD22" s="9">
        <f ca="1">'Balance Sheet'!AC11</f>
        <v>1038187546.4168825</v>
      </c>
      <c r="AE22" s="9">
        <f ca="1">'Balance Sheet'!AD11</f>
        <v>1091086748.8553438</v>
      </c>
      <c r="AF22" s="9">
        <f ca="1">'Balance Sheet'!AE11</f>
        <v>1145602957.745225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402598065.84050113</v>
      </c>
      <c r="D23" s="9">
        <f t="shared" ref="D23:AF23" ca="1" si="30">D20-D22</f>
        <v>410017272.00717509</v>
      </c>
      <c r="E23" s="9">
        <f t="shared" ca="1" si="30"/>
        <v>422040092.15973324</v>
      </c>
      <c r="F23" s="9">
        <f t="shared" ca="1" si="30"/>
        <v>439246275.32495314</v>
      </c>
      <c r="G23" s="9">
        <f t="shared" ca="1" si="30"/>
        <v>463140037.37935376</v>
      </c>
      <c r="H23" s="9">
        <f t="shared" ca="1" si="30"/>
        <v>496695444.18813062</v>
      </c>
      <c r="I23" s="9">
        <f t="shared" ca="1" si="30"/>
        <v>540712609.91206181</v>
      </c>
      <c r="J23" s="9">
        <f ca="1">J20-J22</f>
        <v>589231562.82206583</v>
      </c>
      <c r="K23" s="9">
        <f t="shared" ca="1" si="30"/>
        <v>643286884.36092591</v>
      </c>
      <c r="L23" s="9">
        <f t="shared" ca="1" si="30"/>
        <v>701210241.12641382</v>
      </c>
      <c r="M23" s="9">
        <f t="shared" ca="1" si="30"/>
        <v>762163977.70648384</v>
      </c>
      <c r="N23" s="9">
        <f t="shared" ca="1" si="30"/>
        <v>824982072.66560113</v>
      </c>
      <c r="O23" s="9">
        <f t="shared" ca="1" si="30"/>
        <v>889936447.80706739</v>
      </c>
      <c r="P23" s="9">
        <f t="shared" ca="1" si="30"/>
        <v>956386980.41342652</v>
      </c>
      <c r="Q23" s="9">
        <f t="shared" ca="1" si="30"/>
        <v>1023923569.6692111</v>
      </c>
      <c r="R23" s="9">
        <f t="shared" ca="1" si="30"/>
        <v>1092670850.5616994</v>
      </c>
      <c r="S23" s="9">
        <f t="shared" ca="1" si="30"/>
        <v>1162771156.406934</v>
      </c>
      <c r="T23" s="9">
        <f t="shared" ca="1" si="30"/>
        <v>1234386244.6972079</v>
      </c>
      <c r="U23" s="9">
        <f t="shared" ca="1" si="30"/>
        <v>1307699159.4759865</v>
      </c>
      <c r="V23" s="9">
        <f t="shared" ca="1" si="30"/>
        <v>1382916239.8298931</v>
      </c>
      <c r="W23" s="9">
        <f t="shared" ca="1" si="30"/>
        <v>1460269284.7138548</v>
      </c>
      <c r="X23" s="9">
        <f t="shared" ca="1" si="30"/>
        <v>1540017884.991046</v>
      </c>
      <c r="Y23" s="9">
        <f t="shared" ca="1" si="30"/>
        <v>1622451934.2762454</v>
      </c>
      <c r="Z23" s="9">
        <f t="shared" ca="1" si="30"/>
        <v>1707235181.0239785</v>
      </c>
      <c r="AA23" s="9">
        <f t="shared" ca="1" si="30"/>
        <v>1794629143.4916089</v>
      </c>
      <c r="AB23" s="9">
        <f t="shared" ca="1" si="30"/>
        <v>1884191580.3390152</v>
      </c>
      <c r="AC23" s="9">
        <f t="shared" ca="1" si="30"/>
        <v>1976140139.9183912</v>
      </c>
      <c r="AD23" s="9">
        <f t="shared" ca="1" si="30"/>
        <v>2070717008.4253745</v>
      </c>
      <c r="AE23" s="9">
        <f t="shared" ca="1" si="30"/>
        <v>2168191031.8902164</v>
      </c>
      <c r="AF23" s="9">
        <f t="shared" ca="1" si="30"/>
        <v>2268859992.1325445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14704000</v>
      </c>
      <c r="D5" s="1">
        <f ca="1">C5+C6</f>
        <v>71526740.088573158</v>
      </c>
      <c r="E5" s="1">
        <f t="shared" ref="E5:AF5" ca="1" si="1">D5+D6</f>
        <v>125801608.47143</v>
      </c>
      <c r="F5" s="1">
        <f t="shared" ca="1" si="1"/>
        <v>177014639.87475854</v>
      </c>
      <c r="G5" s="1">
        <f t="shared" ca="1" si="1"/>
        <v>223729507.25509989</v>
      </c>
      <c r="H5" s="1">
        <f t="shared" ca="1" si="1"/>
        <v>263042206.02297661</v>
      </c>
      <c r="I5" s="1">
        <f t="shared" ca="1" si="1"/>
        <v>294224925.25415194</v>
      </c>
      <c r="J5" s="1">
        <f t="shared" ca="1" si="1"/>
        <v>323312253.61781794</v>
      </c>
      <c r="K5" s="1">
        <f t="shared" ca="1" si="1"/>
        <v>349346614.35338533</v>
      </c>
      <c r="L5" s="1">
        <f t="shared" ca="1" si="1"/>
        <v>374075809.69510651</v>
      </c>
      <c r="M5" s="1">
        <f t="shared" ca="1" si="1"/>
        <v>398419506.88967615</v>
      </c>
      <c r="N5" s="1">
        <f t="shared" ca="1" si="1"/>
        <v>423628363.58598697</v>
      </c>
      <c r="O5" s="1">
        <f t="shared" ca="1" si="1"/>
        <v>449517802.55292273</v>
      </c>
      <c r="P5" s="1">
        <f t="shared" ca="1" si="1"/>
        <v>476818086.10643446</v>
      </c>
      <c r="Q5" s="1">
        <f t="shared" ca="1" si="1"/>
        <v>506032339.12763643</v>
      </c>
      <c r="R5" s="1">
        <f t="shared" ca="1" si="1"/>
        <v>537131927.46499848</v>
      </c>
      <c r="S5" s="1">
        <f t="shared" ca="1" si="1"/>
        <v>570073590.66496921</v>
      </c>
      <c r="T5" s="1">
        <f t="shared" ca="1" si="1"/>
        <v>604797814.42934728</v>
      </c>
      <c r="U5" s="1">
        <f t="shared" ca="1" si="1"/>
        <v>641227069.69096947</v>
      </c>
      <c r="V5" s="1">
        <f t="shared" ca="1" si="1"/>
        <v>679263908.81875634</v>
      </c>
      <c r="W5" s="1">
        <f t="shared" ca="1" si="1"/>
        <v>718788908.8399024</v>
      </c>
      <c r="X5" s="1">
        <f t="shared" ca="1" si="1"/>
        <v>759658450.90478241</v>
      </c>
      <c r="Y5" s="1">
        <f t="shared" ca="1" si="1"/>
        <v>801702324.51660037</v>
      </c>
      <c r="Z5" s="1">
        <f t="shared" ca="1" si="1"/>
        <v>845380294.19858956</v>
      </c>
      <c r="AA5" s="1">
        <f t="shared" ca="1" si="1"/>
        <v>890558307.0864327</v>
      </c>
      <c r="AB5" s="1">
        <f t="shared" ca="1" si="1"/>
        <v>937810148.80587459</v>
      </c>
      <c r="AC5" s="1">
        <f t="shared" ca="1" si="1"/>
        <v>987053924.70748651</v>
      </c>
      <c r="AD5" s="1">
        <f t="shared" ca="1" si="1"/>
        <v>1038187546.4168825</v>
      </c>
      <c r="AE5" s="1">
        <f t="shared" ca="1" si="1"/>
        <v>1091086748.8553438</v>
      </c>
      <c r="AF5" s="1">
        <f t="shared" ca="1" si="1"/>
        <v>1145602957.745225</v>
      </c>
      <c r="AG5" s="1"/>
      <c r="AH5" s="1"/>
      <c r="AI5" s="1"/>
      <c r="AJ5" s="1"/>
      <c r="AK5" s="1"/>
      <c r="AL5" s="1"/>
      <c r="AM5" s="1"/>
      <c r="AN5" s="1"/>
      <c r="AO5" s="1"/>
      <c r="AP5" s="1"/>
    </row>
    <row r="6" spans="1:42" x14ac:dyDescent="0.35">
      <c r="A6" s="63" t="s">
        <v>3</v>
      </c>
      <c r="C6" s="1">
        <f ca="1">-'Cash Flow'!C13</f>
        <v>56822740.08857315</v>
      </c>
      <c r="D6" s="1">
        <f ca="1">-'Cash Flow'!D13</f>
        <v>54274868.382856838</v>
      </c>
      <c r="E6" s="1">
        <f ca="1">-'Cash Flow'!E13</f>
        <v>51213031.403328553</v>
      </c>
      <c r="F6" s="1">
        <f ca="1">-'Cash Flow'!F13</f>
        <v>46714867.380341351</v>
      </c>
      <c r="G6" s="1">
        <f ca="1">-'Cash Flow'!G13</f>
        <v>39312698.767876714</v>
      </c>
      <c r="H6" s="1">
        <f ca="1">-'Cash Flow'!H13</f>
        <v>31182719.231175333</v>
      </c>
      <c r="I6" s="1">
        <f ca="1">-'Cash Flow'!I13</f>
        <v>29087328.363665983</v>
      </c>
      <c r="J6" s="1">
        <f ca="1">-'Cash Flow'!J13</f>
        <v>26034360.735567391</v>
      </c>
      <c r="K6" s="1">
        <f ca="1">-'Cash Flow'!K13</f>
        <v>24729195.341721147</v>
      </c>
      <c r="L6" s="1">
        <f ca="1">-'Cash Flow'!L13</f>
        <v>24343697.194569647</v>
      </c>
      <c r="M6" s="1">
        <f ca="1">-'Cash Flow'!M13</f>
        <v>25208856.696310848</v>
      </c>
      <c r="N6" s="1">
        <f ca="1">-'Cash Flow'!N13</f>
        <v>25889438.966935724</v>
      </c>
      <c r="O6" s="1">
        <f ca="1">-'Cash Flow'!O13</f>
        <v>27300283.553511709</v>
      </c>
      <c r="P6" s="1">
        <f ca="1">-'Cash Flow'!P13</f>
        <v>29214253.021201938</v>
      </c>
      <c r="Q6" s="1">
        <f ca="1">-'Cash Flow'!Q13</f>
        <v>31099588.337362021</v>
      </c>
      <c r="R6" s="1">
        <f ca="1">-'Cash Flow'!R13</f>
        <v>32941663.199970752</v>
      </c>
      <c r="S6" s="1">
        <f ca="1">-'Cash Flow'!S13</f>
        <v>34724223.764378026</v>
      </c>
      <c r="T6" s="1">
        <f ca="1">-'Cash Flow'!T13</f>
        <v>36429255.26162219</v>
      </c>
      <c r="U6" s="1">
        <f ca="1">-'Cash Flow'!U13</f>
        <v>38036839.127786875</v>
      </c>
      <c r="V6" s="1">
        <f ca="1">-'Cash Flow'!V13</f>
        <v>39525000.021146089</v>
      </c>
      <c r="W6" s="1">
        <f ca="1">-'Cash Flow'!W13</f>
        <v>40869542.064880043</v>
      </c>
      <c r="X6" s="1">
        <f ca="1">-'Cash Flow'!X13</f>
        <v>42043873.611817926</v>
      </c>
      <c r="Y6" s="1">
        <f ca="1">-'Cash Flow'!Y13</f>
        <v>43677969.681989193</v>
      </c>
      <c r="Z6" s="1">
        <f ca="1">-'Cash Flow'!Z13</f>
        <v>45178012.887843192</v>
      </c>
      <c r="AA6" s="1">
        <f ca="1">-'Cash Flow'!AA13</f>
        <v>47251841.719441831</v>
      </c>
      <c r="AB6" s="1">
        <f ca="1">-'Cash Flow'!AB13</f>
        <v>49243775.901611924</v>
      </c>
      <c r="AC6" s="1">
        <f ca="1">-'Cash Flow'!AC13</f>
        <v>51133621.709396034</v>
      </c>
      <c r="AD6" s="1">
        <f ca="1">-'Cash Flow'!AD13</f>
        <v>52899202.438461423</v>
      </c>
      <c r="AE6" s="1">
        <f ca="1">-'Cash Flow'!AE13</f>
        <v>54516208.889881015</v>
      </c>
      <c r="AF6" s="1">
        <f ca="1">-'Cash Flow'!AF13</f>
        <v>55958039.983432651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2503435.9031000608</v>
      </c>
      <c r="D8" s="1">
        <f ca="1">IF(SUM(D5:D6)&gt;0,Assumptions!$C$26*SUM(D5:D6),Assumptions!$C$27*(SUM(D5:D6)))</f>
        <v>4403056.2965000505</v>
      </c>
      <c r="E8" s="1">
        <f ca="1">IF(SUM(E5:E6)&gt;0,Assumptions!$C$26*SUM(E5:E6),Assumptions!$C$27*(SUM(E5:E6)))</f>
        <v>6195512.39561655</v>
      </c>
      <c r="F8" s="1">
        <f ca="1">IF(SUM(F5:F6)&gt;0,Assumptions!$C$26*SUM(F5:F6),Assumptions!$C$27*(SUM(F5:F6)))</f>
        <v>7830532.7539284974</v>
      </c>
      <c r="G8" s="1">
        <f ca="1">IF(SUM(G5:G6)&gt;0,Assumptions!$C$26*SUM(G5:G6),Assumptions!$C$27*(SUM(G5:G6)))</f>
        <v>9206477.210804183</v>
      </c>
      <c r="H8" s="1">
        <f ca="1">IF(SUM(H5:H6)&gt;0,Assumptions!$C$26*SUM(H5:H6),Assumptions!$C$27*(SUM(H5:H6)))</f>
        <v>10297872.383895319</v>
      </c>
      <c r="I8" s="1">
        <f ca="1">IF(SUM(I5:I6)&gt;0,Assumptions!$C$26*SUM(I5:I6),Assumptions!$C$27*(SUM(I5:I6)))</f>
        <v>11315928.876623629</v>
      </c>
      <c r="J8" s="1">
        <f ca="1">IF(SUM(J5:J6)&gt;0,Assumptions!$C$26*SUM(J5:J6),Assumptions!$C$27*(SUM(J5:J6)))</f>
        <v>12227131.502368487</v>
      </c>
      <c r="K8" s="1">
        <f ca="1">IF(SUM(K5:K6)&gt;0,Assumptions!$C$26*SUM(K5:K6),Assumptions!$C$27*(SUM(K5:K6)))</f>
        <v>13092653.339328729</v>
      </c>
      <c r="L8" s="1">
        <f ca="1">IF(SUM(L5:L6)&gt;0,Assumptions!$C$26*SUM(L5:L6),Assumptions!$C$27*(SUM(L5:L6)))</f>
        <v>13944682.741138667</v>
      </c>
      <c r="M8" s="1">
        <f ca="1">IF(SUM(M5:M6)&gt;0,Assumptions!$C$26*SUM(M5:M6),Assumptions!$C$27*(SUM(M5:M6)))</f>
        <v>14826992.725509545</v>
      </c>
      <c r="N8" s="1">
        <f ca="1">IF(SUM(N5:N6)&gt;0,Assumptions!$C$26*SUM(N5:N6),Assumptions!$C$27*(SUM(N5:N6)))</f>
        <v>15733123.089352297</v>
      </c>
      <c r="O8" s="1">
        <f ca="1">IF(SUM(O5:O6)&gt;0,Assumptions!$C$26*SUM(O5:O6),Assumptions!$C$27*(SUM(O5:O6)))</f>
        <v>16688633.013725208</v>
      </c>
      <c r="P8" s="1">
        <f ca="1">IF(SUM(P5:P6)&gt;0,Assumptions!$C$26*SUM(P5:P6),Assumptions!$C$27*(SUM(P5:P6)))</f>
        <v>17711131.869467277</v>
      </c>
      <c r="Q8" s="1">
        <f ca="1">IF(SUM(Q5:Q6)&gt;0,Assumptions!$C$26*SUM(Q5:Q6),Assumptions!$C$27*(SUM(Q5:Q6)))</f>
        <v>18799617.461274948</v>
      </c>
      <c r="R8" s="1">
        <f ca="1">IF(SUM(R5:R6)&gt;0,Assumptions!$C$26*SUM(R5:R6),Assumptions!$C$27*(SUM(R5:R6)))</f>
        <v>19952575.673273925</v>
      </c>
      <c r="S8" s="1">
        <f ca="1">IF(SUM(S5:S6)&gt;0,Assumptions!$C$26*SUM(S5:S6),Assumptions!$C$27*(SUM(S5:S6)))</f>
        <v>21167923.505027156</v>
      </c>
      <c r="T8" s="1">
        <f ca="1">IF(SUM(T5:T6)&gt;0,Assumptions!$C$26*SUM(T5:T6),Assumptions!$C$27*(SUM(T5:T6)))</f>
        <v>22442947.439183932</v>
      </c>
      <c r="U8" s="1">
        <f ca="1">IF(SUM(U5:U6)&gt;0,Assumptions!$C$26*SUM(U5:U6),Assumptions!$C$27*(SUM(U5:U6)))</f>
        <v>23774236.808656473</v>
      </c>
      <c r="V8" s="1">
        <f ca="1">IF(SUM(V5:V6)&gt;0,Assumptions!$C$26*SUM(V5:V6),Assumptions!$C$27*(SUM(V5:V6)))</f>
        <v>25157611.809396587</v>
      </c>
      <c r="W8" s="1">
        <f ca="1">IF(SUM(W5:W6)&gt;0,Assumptions!$C$26*SUM(W5:W6),Assumptions!$C$27*(SUM(W5:W6)))</f>
        <v>26588045.781667385</v>
      </c>
      <c r="X8" s="1">
        <f ca="1">IF(SUM(X5:X6)&gt;0,Assumptions!$C$26*SUM(X5:X6),Assumptions!$C$27*(SUM(X5:X6)))</f>
        <v>28059581.358081017</v>
      </c>
      <c r="Y8" s="1">
        <f ca="1">IF(SUM(Y5:Y6)&gt;0,Assumptions!$C$26*SUM(Y5:Y6),Assumptions!$C$27*(SUM(Y5:Y6)))</f>
        <v>29588310.296950638</v>
      </c>
      <c r="Z8" s="1">
        <f ca="1">IF(SUM(Z5:Z6)&gt;0,Assumptions!$C$26*SUM(Z5:Z6),Assumptions!$C$27*(SUM(Z5:Z6)))</f>
        <v>31169540.748025149</v>
      </c>
      <c r="AA8" s="1">
        <f ca="1">IF(SUM(AA5:AA6)&gt;0,Assumptions!$C$26*SUM(AA5:AA6),Assumptions!$C$27*(SUM(AA5:AA6)))</f>
        <v>32823355.208205614</v>
      </c>
      <c r="AB8" s="1">
        <f ca="1">IF(SUM(AB5:AB6)&gt;0,Assumptions!$C$26*SUM(AB5:AB6),Assumptions!$C$27*(SUM(AB5:AB6)))</f>
        <v>34546887.364762031</v>
      </c>
      <c r="AC8" s="1">
        <f ca="1">IF(SUM(AC5:AC6)&gt;0,Assumptions!$C$26*SUM(AC5:AC6),Assumptions!$C$27*(SUM(AC5:AC6)))</f>
        <v>36336564.124590889</v>
      </c>
      <c r="AD8" s="1">
        <f ca="1">IF(SUM(AD5:AD6)&gt;0,Assumptions!$C$26*SUM(AD5:AD6),Assumptions!$C$27*(SUM(AD5:AD6)))</f>
        <v>38188036.209937036</v>
      </c>
      <c r="AE8" s="1">
        <f ca="1">IF(SUM(AE5:AE6)&gt;0,Assumptions!$C$26*SUM(AE5:AE6),Assumptions!$C$27*(SUM(AE5:AE6)))</f>
        <v>40096103.521082878</v>
      </c>
      <c r="AF8" s="1">
        <f ca="1">IF(SUM(AF5:AF6)&gt;0,Assumptions!$C$26*SUM(AF5:AF6),Assumptions!$C$27*(SUM(AF5:AF6)))</f>
        <v>42054634.920503028</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13" zoomScale="80" zoomScaleNormal="80" workbookViewId="0">
      <selection activeCell="A13" sqref="A1:XFD1048576"/>
    </sheetView>
  </sheetViews>
  <sheetFormatPr defaultRowHeight="15.5" x14ac:dyDescent="0.35"/>
  <cols>
    <col min="1" max="1" width="107.9140625" style="63" customWidth="1"/>
    <col min="2" max="2" width="18.1640625" style="63" bestFit="1" customWidth="1"/>
    <col min="3" max="3" width="62.08203125" style="182" bestFit="1"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90"/>
    </row>
    <row r="6" spans="1:3" ht="18.5" x14ac:dyDescent="0.45">
      <c r="A6" s="90"/>
      <c r="B6" s="90"/>
    </row>
    <row r="7" spans="1:3" ht="18.5" x14ac:dyDescent="0.45">
      <c r="A7" s="90" t="s">
        <v>97</v>
      </c>
      <c r="B7" s="91">
        <f>Assumptions!C24</f>
        <v>29720508</v>
      </c>
      <c r="C7" s="181" t="str">
        <f>Assumptions!B24</f>
        <v>RFI Table F10; Lines F10.62 + F10.70</v>
      </c>
    </row>
    <row r="8" spans="1:3" ht="34" x14ac:dyDescent="0.45">
      <c r="A8" s="90" t="s">
        <v>175</v>
      </c>
      <c r="B8" s="92">
        <f>Assumptions!$C$133</f>
        <v>0.7</v>
      </c>
      <c r="C8" s="181" t="s">
        <v>200</v>
      </c>
    </row>
    <row r="9" spans="1:3" ht="18.5" x14ac:dyDescent="0.45">
      <c r="A9" s="90"/>
      <c r="B9" s="93"/>
      <c r="C9" s="181"/>
    </row>
    <row r="10" spans="1:3" ht="68" x14ac:dyDescent="0.45">
      <c r="A10" s="94" t="s">
        <v>103</v>
      </c>
      <c r="B10" s="95">
        <f>Assumptions!C135</f>
        <v>17500.425925925927</v>
      </c>
      <c r="C10" s="181" t="s">
        <v>201</v>
      </c>
    </row>
    <row r="11" spans="1:3" ht="18.5" x14ac:dyDescent="0.45">
      <c r="A11" s="94"/>
      <c r="B11" s="94"/>
      <c r="C11" s="181"/>
    </row>
    <row r="12" spans="1:3" ht="18.5" x14ac:dyDescent="0.45">
      <c r="A12" s="94" t="s">
        <v>185</v>
      </c>
      <c r="B12" s="91">
        <f>(B7*B8)/B10</f>
        <v>1188.7913864530278</v>
      </c>
      <c r="C12" s="181"/>
    </row>
    <row r="13" spans="1:3" ht="18.5" x14ac:dyDescent="0.45">
      <c r="A13" s="96"/>
      <c r="B13" s="97"/>
      <c r="C13" s="181"/>
    </row>
    <row r="14" spans="1:3" ht="18.5" x14ac:dyDescent="0.45">
      <c r="A14" s="94" t="s">
        <v>104</v>
      </c>
      <c r="B14" s="98">
        <v>1</v>
      </c>
      <c r="C14" s="181"/>
    </row>
    <row r="15" spans="1:3" ht="18.5" x14ac:dyDescent="0.45">
      <c r="A15" s="96"/>
      <c r="B15" s="99"/>
      <c r="C15" s="181"/>
    </row>
    <row r="16" spans="1:3" ht="18.5" x14ac:dyDescent="0.45">
      <c r="A16" s="96" t="s">
        <v>180</v>
      </c>
      <c r="B16" s="100">
        <f>B12/B14</f>
        <v>1188.7913864530278</v>
      </c>
      <c r="C16" s="181"/>
    </row>
    <row r="17" spans="1:3" ht="18.5" x14ac:dyDescent="0.45">
      <c r="A17" s="94"/>
      <c r="B17" s="101"/>
      <c r="C17" s="181"/>
    </row>
    <row r="18" spans="1:3" ht="18.5" x14ac:dyDescent="0.45">
      <c r="A18" s="102" t="s">
        <v>179</v>
      </c>
      <c r="B18" s="101"/>
      <c r="C18" s="181"/>
    </row>
    <row r="19" spans="1:3" ht="18.5" x14ac:dyDescent="0.45">
      <c r="A19" s="94"/>
      <c r="B19" s="101"/>
      <c r="C19" s="181"/>
    </row>
    <row r="20" spans="1:3" ht="34" x14ac:dyDescent="0.45">
      <c r="A20" s="94" t="s">
        <v>66</v>
      </c>
      <c r="B20" s="91">
        <f>'Profit and Loss'!L5</f>
        <v>155781658.59330422</v>
      </c>
      <c r="C20" s="181" t="s">
        <v>202</v>
      </c>
    </row>
    <row r="21" spans="1:3" ht="34" x14ac:dyDescent="0.45">
      <c r="A21" s="94" t="str">
        <f>A8</f>
        <v>Assumed revenue from households</v>
      </c>
      <c r="B21" s="92">
        <f>B8</f>
        <v>0.7</v>
      </c>
      <c r="C21" s="181" t="s">
        <v>200</v>
      </c>
    </row>
    <row r="22" spans="1:3" ht="18.5" x14ac:dyDescent="0.45">
      <c r="A22" s="94"/>
      <c r="B22" s="94"/>
      <c r="C22" s="181"/>
    </row>
    <row r="23" spans="1:3" ht="34" x14ac:dyDescent="0.45">
      <c r="A23" s="94" t="s">
        <v>102</v>
      </c>
      <c r="B23" s="95">
        <f>Assumptions!M135</f>
        <v>24437.422249219046</v>
      </c>
      <c r="C23" s="181" t="s">
        <v>203</v>
      </c>
    </row>
    <row r="24" spans="1:3" ht="18.5" x14ac:dyDescent="0.45">
      <c r="A24" s="94"/>
      <c r="B24" s="94"/>
      <c r="C24" s="181"/>
    </row>
    <row r="25" spans="1:3" ht="18.5" x14ac:dyDescent="0.45">
      <c r="A25" s="94" t="s">
        <v>184</v>
      </c>
      <c r="B25" s="91">
        <f>(B20*B21)/B23</f>
        <v>4462.3021161242896</v>
      </c>
      <c r="C25" s="181"/>
    </row>
    <row r="26" spans="1:3" ht="18.5" x14ac:dyDescent="0.45">
      <c r="A26" s="94"/>
      <c r="B26" s="91"/>
      <c r="C26" s="181"/>
    </row>
    <row r="27" spans="1:3" ht="34" x14ac:dyDescent="0.45">
      <c r="A27" s="94" t="s">
        <v>104</v>
      </c>
      <c r="B27" s="103">
        <f>1.022^11</f>
        <v>1.2704566586717592</v>
      </c>
      <c r="C27" s="181" t="s">
        <v>204</v>
      </c>
    </row>
    <row r="28" spans="1:3" ht="18.5" x14ac:dyDescent="0.45">
      <c r="A28" s="96"/>
      <c r="B28" s="97"/>
      <c r="C28" s="181"/>
    </row>
    <row r="29" spans="1:3" ht="18.5" x14ac:dyDescent="0.45">
      <c r="A29" s="96" t="s">
        <v>181</v>
      </c>
      <c r="B29" s="91">
        <f>B25/B27</f>
        <v>3512.3607607279973</v>
      </c>
      <c r="C29" s="181"/>
    </row>
    <row r="30" spans="1:3" ht="18.5" x14ac:dyDescent="0.45">
      <c r="A30" s="96"/>
      <c r="B30" s="97"/>
      <c r="C30" s="181"/>
    </row>
    <row r="31" spans="1:3" ht="18.5" x14ac:dyDescent="0.45">
      <c r="A31" s="102" t="s">
        <v>187</v>
      </c>
      <c r="B31" s="96"/>
      <c r="C31" s="181"/>
    </row>
    <row r="32" spans="1:3" ht="18.5" x14ac:dyDescent="0.45">
      <c r="A32" s="94"/>
      <c r="B32" s="91"/>
      <c r="C32" s="181"/>
    </row>
    <row r="33" spans="1:3" ht="34" x14ac:dyDescent="0.45">
      <c r="A33" s="94" t="s">
        <v>67</v>
      </c>
      <c r="B33" s="91">
        <f>'Profit and Loss'!AF5</f>
        <v>465235943.67741156</v>
      </c>
      <c r="C33" s="181" t="s">
        <v>202</v>
      </c>
    </row>
    <row r="34" spans="1:3" ht="34" x14ac:dyDescent="0.45">
      <c r="A34" s="94" t="str">
        <f>A21</f>
        <v>Assumed revenue from households</v>
      </c>
      <c r="B34" s="92">
        <f>B21</f>
        <v>0.7</v>
      </c>
      <c r="C34" s="181" t="s">
        <v>200</v>
      </c>
    </row>
    <row r="35" spans="1:3" ht="18.5" x14ac:dyDescent="0.45">
      <c r="A35" s="94"/>
      <c r="B35" s="94"/>
      <c r="C35" s="181"/>
    </row>
    <row r="36" spans="1:3" ht="34" x14ac:dyDescent="0.45">
      <c r="A36" s="94" t="s">
        <v>101</v>
      </c>
      <c r="B36" s="95">
        <f>Assumptions!AG135</f>
        <v>47650.662327842991</v>
      </c>
      <c r="C36" s="181" t="s">
        <v>203</v>
      </c>
    </row>
    <row r="37" spans="1:3" ht="18.5" x14ac:dyDescent="0.45">
      <c r="A37" s="94"/>
      <c r="B37" s="94"/>
      <c r="C37" s="181"/>
    </row>
    <row r="38" spans="1:3" ht="18.5" x14ac:dyDescent="0.45">
      <c r="A38" s="94" t="s">
        <v>183</v>
      </c>
      <c r="B38" s="91">
        <f>(B33*B34)/B36</f>
        <v>6834.4309326398816</v>
      </c>
      <c r="C38" s="181"/>
    </row>
    <row r="39" spans="1:3" ht="18.5" x14ac:dyDescent="0.45">
      <c r="A39" s="94"/>
      <c r="B39" s="94"/>
      <c r="C39" s="181"/>
    </row>
    <row r="40" spans="1:3" ht="34" x14ac:dyDescent="0.45">
      <c r="A40" s="94" t="s">
        <v>104</v>
      </c>
      <c r="B40" s="103">
        <f>1.022^31</f>
        <v>1.9632597808456462</v>
      </c>
      <c r="C40" s="181" t="s">
        <v>204</v>
      </c>
    </row>
    <row r="41" spans="1:3" ht="18.5" x14ac:dyDescent="0.45">
      <c r="A41" s="96"/>
      <c r="B41" s="97"/>
    </row>
    <row r="42" spans="1:3" ht="18.5" x14ac:dyDescent="0.45">
      <c r="A42" s="96" t="s">
        <v>182</v>
      </c>
      <c r="B42" s="91">
        <f>B38/B40</f>
        <v>3481.1648459971238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topLeftCell="B1" zoomScale="80" zoomScaleNormal="80" workbookViewId="0">
      <pane ySplit="4" topLeftCell="A119" activePane="bottomLeft" state="frozen"/>
      <selection sqref="A1:XFD1048576"/>
      <selection pane="bottomLeft" sqref="A1:XFD1048576"/>
    </sheetView>
  </sheetViews>
  <sheetFormatPr defaultColWidth="10.83203125" defaultRowHeight="15.5" x14ac:dyDescent="0.35"/>
  <cols>
    <col min="1" max="1" width="87.5" style="76"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83" t="s">
        <v>28</v>
      </c>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139</v>
      </c>
      <c r="C13" s="127">
        <v>3.3952713779962895E-2</v>
      </c>
      <c r="D13" s="128">
        <f t="shared" ref="D13:AG13" si="3">(1+$C$13)^D8</f>
        <v>1.0339527137799629</v>
      </c>
      <c r="E13" s="128">
        <f t="shared" si="3"/>
        <v>1.0690582143329499</v>
      </c>
      <c r="F13" s="128">
        <f t="shared" si="3"/>
        <v>1.1053556418983148</v>
      </c>
      <c r="G13" s="128">
        <f t="shared" si="3"/>
        <v>1.1428854656327554</v>
      </c>
      <c r="H13" s="128">
        <f t="shared" si="3"/>
        <v>1.1816895287306639</v>
      </c>
      <c r="I13" s="128">
        <f t="shared" si="3"/>
        <v>1.2218110950764354</v>
      </c>
      <c r="J13" s="128">
        <f t="shared" si="3"/>
        <v>1.2632948974807487</v>
      </c>
      <c r="K13" s="128">
        <f t="shared" si="3"/>
        <v>1.3061871875546001</v>
      </c>
      <c r="L13" s="128">
        <f t="shared" si="3"/>
        <v>1.3505357872766961</v>
      </c>
      <c r="M13" s="128">
        <f t="shared" si="3"/>
        <v>1.3963901423116987</v>
      </c>
      <c r="N13" s="128">
        <f t="shared" si="3"/>
        <v>1.4438013771387694</v>
      </c>
      <c r="O13" s="128">
        <f t="shared" si="3"/>
        <v>1.4928223520518782</v>
      </c>
      <c r="P13" s="128">
        <f t="shared" si="3"/>
        <v>1.5435077220954267</v>
      </c>
      <c r="Q13" s="128">
        <f t="shared" si="3"/>
        <v>1.5959139980008952</v>
      </c>
      <c r="R13" s="128">
        <f t="shared" si="3"/>
        <v>1.650099609192456</v>
      </c>
      <c r="S13" s="128">
        <f t="shared" si="3"/>
        <v>1.7061249689317959</v>
      </c>
      <c r="T13" s="128">
        <f t="shared" si="3"/>
        <v>1.7640525416747852</v>
      </c>
      <c r="U13" s="128">
        <f t="shared" si="3"/>
        <v>1.8239469127150854</v>
      </c>
      <c r="V13" s="128">
        <f t="shared" si="3"/>
        <v>1.8858748601923476</v>
      </c>
      <c r="W13" s="128">
        <f t="shared" si="3"/>
        <v>1.9499054295452858</v>
      </c>
      <c r="X13" s="128">
        <f t="shared" si="3"/>
        <v>2.0161100104926324</v>
      </c>
      <c r="Y13" s="128">
        <f t="shared" si="3"/>
        <v>2.0845624166278069</v>
      </c>
      <c r="Z13" s="128">
        <f t="shared" si="3"/>
        <v>2.1553389677160388</v>
      </c>
      <c r="AA13" s="128">
        <f t="shared" si="3"/>
        <v>2.2285185747857019</v>
      </c>
      <c r="AB13" s="128">
        <f t="shared" si="3"/>
        <v>2.3041828281087318</v>
      </c>
      <c r="AC13" s="128">
        <f t="shared" si="3"/>
        <v>2.3824160881682128</v>
      </c>
      <c r="AD13" s="128">
        <f t="shared" si="3"/>
        <v>2.4633055797145671</v>
      </c>
      <c r="AE13" s="128">
        <f t="shared" si="3"/>
        <v>2.5469414890152011</v>
      </c>
      <c r="AF13" s="128">
        <f t="shared" si="3"/>
        <v>2.6334170644060468</v>
      </c>
      <c r="AG13" s="128">
        <f t="shared" si="3"/>
        <v>2.7228287202570955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171</v>
      </c>
      <c r="C17" s="136">
        <f>AVERAGE(C49:C50)</f>
        <v>710104235.83749998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355052117.91874999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138</v>
      </c>
      <c r="C20" s="137">
        <v>14704000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29720508</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198</v>
      </c>
      <c r="C25" s="136">
        <v>15515000</v>
      </c>
      <c r="D25" s="140"/>
      <c r="E25" s="179"/>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568083388.66999996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852125083.005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1677859.232986337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3559466.0824174862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2618662.6577019114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4573375.9311891505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9127962.1246138308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6850669.0279014912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10410135.110318977</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142</v>
      </c>
      <c r="B77" s="180" t="s">
        <v>177</v>
      </c>
      <c r="C77" s="87">
        <v>210155630.19292074</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1560214325.1506743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1638657433.1699443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87</v>
      </c>
      <c r="C82" s="87">
        <f>C79+$C$77</f>
        <v>1770369955.343595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87</v>
      </c>
      <c r="C83" s="87">
        <f>C80+$C$77</f>
        <v>1848813063.362865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199</v>
      </c>
      <c r="C85" s="150">
        <v>52327.6</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42174.700000000004</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47251.15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87</v>
      </c>
      <c r="C89" s="150">
        <f>C82/$C$87</f>
        <v>37467.235302074027</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87</v>
      </c>
      <c r="C90" s="150">
        <f>C83/$C$87</f>
        <v>39127.366495055991</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87</v>
      </c>
      <c r="C94" s="87">
        <f>IF(C89&lt;$C$92,C89*$C$87,$C$92*$C$87)</f>
        <v>1770369955.3435953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87</v>
      </c>
      <c r="C95" s="87">
        <f>IF(C90&lt;$C$92,C90*$C$87,$C$92*$C$87)</f>
        <v>1848813063.362865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87</v>
      </c>
      <c r="C96" s="87">
        <f>AVERAGE(C94:C95)</f>
        <v>1809591509.35323</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1809591509.35323</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60319716.978441</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10410135.110318977</v>
      </c>
      <c r="E111" s="149">
        <f t="shared" si="9"/>
        <v>10410135.110318977</v>
      </c>
      <c r="F111" s="149">
        <f t="shared" si="9"/>
        <v>10410135.110318977</v>
      </c>
      <c r="G111" s="149">
        <f t="shared" si="9"/>
        <v>10410135.110318977</v>
      </c>
      <c r="H111" s="149">
        <f t="shared" si="9"/>
        <v>10410135.110318977</v>
      </c>
      <c r="I111" s="149">
        <f t="shared" si="9"/>
        <v>10410135.110318977</v>
      </c>
      <c r="J111" s="149">
        <f t="shared" si="9"/>
        <v>10410135.110318977</v>
      </c>
      <c r="K111" s="149">
        <f t="shared" si="9"/>
        <v>10410135.110318977</v>
      </c>
      <c r="L111" s="149">
        <f t="shared" si="9"/>
        <v>10410135.110318977</v>
      </c>
      <c r="M111" s="149">
        <f t="shared" si="9"/>
        <v>10410135.110318977</v>
      </c>
      <c r="N111" s="149">
        <f t="shared" si="9"/>
        <v>10410135.110318977</v>
      </c>
      <c r="O111" s="149">
        <f t="shared" si="9"/>
        <v>10410135.110318977</v>
      </c>
      <c r="P111" s="149">
        <f t="shared" si="9"/>
        <v>10410135.110318977</v>
      </c>
      <c r="Q111" s="149">
        <f t="shared" si="9"/>
        <v>10410135.110318977</v>
      </c>
      <c r="R111" s="149">
        <f t="shared" si="9"/>
        <v>10410135.110318977</v>
      </c>
      <c r="S111" s="149">
        <f t="shared" si="9"/>
        <v>10410135.110318977</v>
      </c>
      <c r="T111" s="149">
        <f t="shared" si="9"/>
        <v>10410135.110318977</v>
      </c>
      <c r="U111" s="149">
        <f t="shared" si="9"/>
        <v>10410135.110318977</v>
      </c>
      <c r="V111" s="149">
        <f t="shared" si="9"/>
        <v>10410135.110318977</v>
      </c>
      <c r="W111" s="149">
        <f t="shared" si="9"/>
        <v>10410135.110318977</v>
      </c>
      <c r="X111" s="149">
        <f t="shared" si="9"/>
        <v>10410135.110318977</v>
      </c>
      <c r="Y111" s="149">
        <f t="shared" si="9"/>
        <v>10410135.110318977</v>
      </c>
      <c r="Z111" s="149">
        <f t="shared" si="9"/>
        <v>10410135.110318977</v>
      </c>
      <c r="AA111" s="149">
        <f t="shared" si="9"/>
        <v>10410135.110318977</v>
      </c>
      <c r="AB111" s="149">
        <f t="shared" si="9"/>
        <v>10410135.110318977</v>
      </c>
      <c r="AC111" s="149">
        <f t="shared" si="9"/>
        <v>10410135.110318977</v>
      </c>
      <c r="AD111" s="149">
        <f t="shared" si="9"/>
        <v>10410135.110318977</v>
      </c>
      <c r="AE111" s="149">
        <f t="shared" si="9"/>
        <v>10410135.110318977</v>
      </c>
      <c r="AF111" s="149">
        <f t="shared" si="9"/>
        <v>10410135.110318977</v>
      </c>
      <c r="AG111" s="149">
        <f t="shared" si="9"/>
        <v>10410135.110318977</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1809591509.35323</v>
      </c>
      <c r="D113" s="149">
        <f t="shared" ref="D113:AG113" si="10">$C$102</f>
        <v>60319716.978441</v>
      </c>
      <c r="E113" s="149">
        <f t="shared" si="10"/>
        <v>60319716.978441</v>
      </c>
      <c r="F113" s="149">
        <f t="shared" si="10"/>
        <v>60319716.978441</v>
      </c>
      <c r="G113" s="149">
        <f t="shared" si="10"/>
        <v>60319716.978441</v>
      </c>
      <c r="H113" s="149">
        <f t="shared" si="10"/>
        <v>60319716.978441</v>
      </c>
      <c r="I113" s="149">
        <f t="shared" si="10"/>
        <v>60319716.978441</v>
      </c>
      <c r="J113" s="149">
        <f t="shared" si="10"/>
        <v>60319716.978441</v>
      </c>
      <c r="K113" s="149">
        <f t="shared" si="10"/>
        <v>60319716.978441</v>
      </c>
      <c r="L113" s="149">
        <f t="shared" si="10"/>
        <v>60319716.978441</v>
      </c>
      <c r="M113" s="149">
        <f t="shared" si="10"/>
        <v>60319716.978441</v>
      </c>
      <c r="N113" s="149">
        <f t="shared" si="10"/>
        <v>60319716.978441</v>
      </c>
      <c r="O113" s="149">
        <f t="shared" si="10"/>
        <v>60319716.978441</v>
      </c>
      <c r="P113" s="149">
        <f t="shared" si="10"/>
        <v>60319716.978441</v>
      </c>
      <c r="Q113" s="149">
        <f t="shared" si="10"/>
        <v>60319716.978441</v>
      </c>
      <c r="R113" s="149">
        <f t="shared" si="10"/>
        <v>60319716.978441</v>
      </c>
      <c r="S113" s="149">
        <f t="shared" si="10"/>
        <v>60319716.978441</v>
      </c>
      <c r="T113" s="149">
        <f t="shared" si="10"/>
        <v>60319716.978441</v>
      </c>
      <c r="U113" s="149">
        <f t="shared" si="10"/>
        <v>60319716.978441</v>
      </c>
      <c r="V113" s="149">
        <f t="shared" si="10"/>
        <v>60319716.978441</v>
      </c>
      <c r="W113" s="149">
        <f t="shared" si="10"/>
        <v>60319716.978441</v>
      </c>
      <c r="X113" s="149">
        <f t="shared" si="10"/>
        <v>60319716.978441</v>
      </c>
      <c r="Y113" s="149">
        <f t="shared" si="10"/>
        <v>60319716.978441</v>
      </c>
      <c r="Z113" s="149">
        <f t="shared" si="10"/>
        <v>60319716.978441</v>
      </c>
      <c r="AA113" s="149">
        <f t="shared" si="10"/>
        <v>60319716.978441</v>
      </c>
      <c r="AB113" s="149">
        <f t="shared" si="10"/>
        <v>60319716.978441</v>
      </c>
      <c r="AC113" s="149">
        <f t="shared" si="10"/>
        <v>60319716.978441</v>
      </c>
      <c r="AD113" s="149">
        <f t="shared" si="10"/>
        <v>60319716.978441</v>
      </c>
      <c r="AE113" s="149">
        <f t="shared" si="10"/>
        <v>60319716.978441</v>
      </c>
      <c r="AF113" s="149">
        <f t="shared" si="10"/>
        <v>60319716.978441</v>
      </c>
      <c r="AG113" s="149">
        <f t="shared" si="10"/>
        <v>60319716.978441</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60319716.978441</v>
      </c>
      <c r="E118" s="149">
        <f t="shared" ref="E118:AG118" si="13">E113+E115+E116</f>
        <v>60319716.978441</v>
      </c>
      <c r="F118" s="149">
        <f>F113+F115+F116</f>
        <v>60319716.978441</v>
      </c>
      <c r="G118" s="149">
        <f t="shared" si="13"/>
        <v>60319716.978441</v>
      </c>
      <c r="H118" s="149">
        <f t="shared" si="13"/>
        <v>60319716.978441</v>
      </c>
      <c r="I118" s="149">
        <f t="shared" si="13"/>
        <v>60319716.978441</v>
      </c>
      <c r="J118" s="149">
        <f t="shared" si="13"/>
        <v>60319716.978441</v>
      </c>
      <c r="K118" s="149">
        <f t="shared" si="13"/>
        <v>60319716.978441</v>
      </c>
      <c r="L118" s="149">
        <f t="shared" si="13"/>
        <v>60319716.978441</v>
      </c>
      <c r="M118" s="149">
        <f t="shared" si="13"/>
        <v>60319716.978441</v>
      </c>
      <c r="N118" s="149">
        <f t="shared" si="13"/>
        <v>60319716.978441</v>
      </c>
      <c r="O118" s="149">
        <f t="shared" si="13"/>
        <v>60319716.978441</v>
      </c>
      <c r="P118" s="149">
        <f t="shared" si="13"/>
        <v>60319716.978441</v>
      </c>
      <c r="Q118" s="149">
        <f t="shared" si="13"/>
        <v>60319716.978441</v>
      </c>
      <c r="R118" s="149">
        <f t="shared" si="13"/>
        <v>60319716.978441</v>
      </c>
      <c r="S118" s="149">
        <f t="shared" si="13"/>
        <v>60319716.978441</v>
      </c>
      <c r="T118" s="149">
        <f t="shared" si="13"/>
        <v>60319716.978441</v>
      </c>
      <c r="U118" s="149">
        <f t="shared" si="13"/>
        <v>60319716.978441</v>
      </c>
      <c r="V118" s="149">
        <f t="shared" si="13"/>
        <v>60319716.978441</v>
      </c>
      <c r="W118" s="149">
        <f t="shared" si="13"/>
        <v>60319716.978441</v>
      </c>
      <c r="X118" s="149">
        <f t="shared" si="13"/>
        <v>60319716.978441</v>
      </c>
      <c r="Y118" s="149">
        <f t="shared" si="13"/>
        <v>60319716.978441</v>
      </c>
      <c r="Z118" s="149">
        <f t="shared" si="13"/>
        <v>60319716.978441</v>
      </c>
      <c r="AA118" s="149">
        <f t="shared" si="13"/>
        <v>60319716.978441</v>
      </c>
      <c r="AB118" s="149">
        <f t="shared" si="13"/>
        <v>60319716.978441</v>
      </c>
      <c r="AC118" s="149">
        <f t="shared" si="13"/>
        <v>60319716.978441</v>
      </c>
      <c r="AD118" s="149">
        <f t="shared" si="13"/>
        <v>60319716.978441</v>
      </c>
      <c r="AE118" s="149">
        <f t="shared" si="13"/>
        <v>60319716.978441</v>
      </c>
      <c r="AF118" s="149">
        <f t="shared" si="13"/>
        <v>60319716.978441</v>
      </c>
      <c r="AG118" s="149">
        <f t="shared" si="13"/>
        <v>60319716.978441</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1447673.2074825838</v>
      </c>
      <c r="E120" s="149">
        <f>(SUM($D$118:E118)*$C$104/$C$106)+(SUM($D$118:E118)*$C$105/$C$107)</f>
        <v>2895346.4149651676</v>
      </c>
      <c r="F120" s="149">
        <f>(SUM($D$118:F118)*$C$104/$C$106)+(SUM($D$118:F118)*$C$105/$C$107)</f>
        <v>4343019.6224477524</v>
      </c>
      <c r="G120" s="149">
        <f>(SUM($D$118:G118)*$C$104/$C$106)+(SUM($D$118:G118)*$C$105/$C$107)</f>
        <v>5790692.8299303353</v>
      </c>
      <c r="H120" s="149">
        <f>(SUM($D$118:H118)*$C$104/$C$106)+(SUM($D$118:H118)*$C$105/$C$107)</f>
        <v>7238366.03741292</v>
      </c>
      <c r="I120" s="149">
        <f>(SUM($D$118:I118)*$C$104/$C$106)+(SUM($D$118:I118)*$C$105/$C$107)</f>
        <v>8686039.2448955048</v>
      </c>
      <c r="J120" s="149">
        <f>(SUM($D$118:J118)*$C$104/$C$106)+(SUM($D$118:J118)*$C$105/$C$107)</f>
        <v>10133712.452378087</v>
      </c>
      <c r="K120" s="149">
        <f>(SUM($D$118:K118)*$C$104/$C$106)+(SUM($D$118:K118)*$C$105/$C$107)</f>
        <v>11581385.659860671</v>
      </c>
      <c r="L120" s="149">
        <f>(SUM($D$118:L118)*$C$104/$C$106)+(SUM($D$118:L118)*$C$105/$C$107)</f>
        <v>13029058.867343256</v>
      </c>
      <c r="M120" s="149">
        <f>(SUM($D$118:M118)*$C$104/$C$106)+(SUM($D$118:M118)*$C$105/$C$107)</f>
        <v>14476732.07482584</v>
      </c>
      <c r="N120" s="149">
        <f>(SUM($D$118:N118)*$C$104/$C$106)+(SUM($D$118:N118)*$C$105/$C$107)</f>
        <v>15924405.282308424</v>
      </c>
      <c r="O120" s="149">
        <f>(SUM($D$118:O118)*$C$104/$C$106)+(SUM($D$118:O118)*$C$105/$C$107)</f>
        <v>17372078.48979101</v>
      </c>
      <c r="P120" s="149">
        <f>(SUM($D$118:P118)*$C$104/$C$106)+(SUM($D$118:P118)*$C$105/$C$107)</f>
        <v>18819751.69727359</v>
      </c>
      <c r="Q120" s="149">
        <f>(SUM($D$118:Q118)*$C$104/$C$106)+(SUM($D$118:Q118)*$C$105/$C$107)</f>
        <v>20267424.904756173</v>
      </c>
      <c r="R120" s="149">
        <f>(SUM($D$118:R118)*$C$104/$C$106)+(SUM($D$118:R118)*$C$105/$C$107)</f>
        <v>21715098.112238761</v>
      </c>
      <c r="S120" s="149">
        <f>(SUM($D$118:S118)*$C$104/$C$106)+(SUM($D$118:S118)*$C$105/$C$107)</f>
        <v>23162771.319721341</v>
      </c>
      <c r="T120" s="149">
        <f>(SUM($D$118:T118)*$C$104/$C$106)+(SUM($D$118:T118)*$C$105/$C$107)</f>
        <v>24610444.527203925</v>
      </c>
      <c r="U120" s="149">
        <f>(SUM($D$118:U118)*$C$104/$C$106)+(SUM($D$118:U118)*$C$105/$C$107)</f>
        <v>26058117.734686513</v>
      </c>
      <c r="V120" s="149">
        <f>(SUM($D$118:V118)*$C$104/$C$106)+(SUM($D$118:V118)*$C$105/$C$107)</f>
        <v>27505790.942169093</v>
      </c>
      <c r="W120" s="149">
        <f>(SUM($D$118:W118)*$C$104/$C$106)+(SUM($D$118:W118)*$C$105/$C$107)</f>
        <v>28953464.14965168</v>
      </c>
      <c r="X120" s="149">
        <f>(SUM($D$118:X118)*$C$104/$C$106)+(SUM($D$118:X118)*$C$105/$C$107)</f>
        <v>30401137.35713426</v>
      </c>
      <c r="Y120" s="149">
        <f>(SUM($D$118:Y118)*$C$104/$C$106)+(SUM($D$118:Y118)*$C$105/$C$107)</f>
        <v>31848810.564616848</v>
      </c>
      <c r="Z120" s="149">
        <f>(SUM($D$118:Z118)*$C$104/$C$106)+(SUM($D$118:Z118)*$C$105/$C$107)</f>
        <v>33296483.772099432</v>
      </c>
      <c r="AA120" s="149">
        <f>(SUM($D$118:AA118)*$C$104/$C$106)+(SUM($D$118:AA118)*$C$105/$C$107)</f>
        <v>34744156.979582019</v>
      </c>
      <c r="AB120" s="149">
        <f>(SUM($D$118:AB118)*$C$104/$C$106)+(SUM($D$118:AB118)*$C$105/$C$107)</f>
        <v>36191830.187064603</v>
      </c>
      <c r="AC120" s="149">
        <f>(SUM($D$118:AC118)*$C$104/$C$106)+(SUM($D$118:AC118)*$C$105/$C$107)</f>
        <v>37639503.394547179</v>
      </c>
      <c r="AD120" s="149">
        <f>(SUM($D$118:AD118)*$C$104/$C$106)+(SUM($D$118:AD118)*$C$105/$C$107)</f>
        <v>39087176.602029771</v>
      </c>
      <c r="AE120" s="149">
        <f>(SUM($D$118:AE118)*$C$104/$C$106)+(SUM($D$118:AE118)*$C$105/$C$107)</f>
        <v>40534849.809512347</v>
      </c>
      <c r="AF120" s="149">
        <f>(SUM($D$118:AF118)*$C$104/$C$106)+(SUM($D$118:AF118)*$C$105/$C$107)</f>
        <v>41982523.016994938</v>
      </c>
      <c r="AG120" s="149">
        <f>(SUM($D$118:AG118)*$C$104/$C$106)+(SUM($D$118:AG118)*$C$105/$C$107)</f>
        <v>43430196.224477522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1809591.50935323</v>
      </c>
      <c r="E122" s="72">
        <f>(SUM($D$118:E118)*$C$109)</f>
        <v>3619183.01870646</v>
      </c>
      <c r="F122" s="72">
        <f>(SUM($D$118:F118)*$C$109)</f>
        <v>5428774.5280596903</v>
      </c>
      <c r="G122" s="72">
        <f>(SUM($D$118:G118)*$C$109)</f>
        <v>7238366.03741292</v>
      </c>
      <c r="H122" s="72">
        <f>(SUM($D$118:H118)*$C$109)</f>
        <v>9047957.5467661489</v>
      </c>
      <c r="I122" s="72">
        <f>(SUM($D$118:I118)*$C$109)</f>
        <v>10857549.056119381</v>
      </c>
      <c r="J122" s="72">
        <f>(SUM($D$118:J118)*$C$109)</f>
        <v>12667140.56547261</v>
      </c>
      <c r="K122" s="72">
        <f>(SUM($D$118:K118)*$C$109)</f>
        <v>14476732.07482584</v>
      </c>
      <c r="L122" s="72">
        <f>(SUM($D$118:L118)*$C$109)</f>
        <v>16286323.58417907</v>
      </c>
      <c r="M122" s="72">
        <f>(SUM($D$118:M118)*$C$109)</f>
        <v>18095915.093532298</v>
      </c>
      <c r="N122" s="72">
        <f>(SUM($D$118:N118)*$C$109)</f>
        <v>19905506.602885529</v>
      </c>
      <c r="O122" s="72">
        <f>(SUM($D$118:O118)*$C$109)</f>
        <v>21715098.112238761</v>
      </c>
      <c r="P122" s="72">
        <f>(SUM($D$118:P118)*$C$109)</f>
        <v>23524689.621591989</v>
      </c>
      <c r="Q122" s="72">
        <f>(SUM($D$118:Q118)*$C$109)</f>
        <v>25334281.130945221</v>
      </c>
      <c r="R122" s="72">
        <f>(SUM($D$118:R118)*$C$109)</f>
        <v>27143872.640298449</v>
      </c>
      <c r="S122" s="72">
        <f>(SUM($D$118:S118)*$C$109)</f>
        <v>28953464.14965168</v>
      </c>
      <c r="T122" s="72">
        <f>(SUM($D$118:T118)*$C$109)</f>
        <v>30763055.659004908</v>
      </c>
      <c r="U122" s="72">
        <f>(SUM($D$118:U118)*$C$109)</f>
        <v>32572647.16835814</v>
      </c>
      <c r="V122" s="72">
        <f>(SUM($D$118:V118)*$C$109)</f>
        <v>34382238.677711368</v>
      </c>
      <c r="W122" s="72">
        <f>(SUM($D$118:W118)*$C$109)</f>
        <v>36191830.187064596</v>
      </c>
      <c r="X122" s="72">
        <f>(SUM($D$118:X118)*$C$109)</f>
        <v>38001421.696417831</v>
      </c>
      <c r="Y122" s="72">
        <f>(SUM($D$118:Y118)*$C$109)</f>
        <v>39811013.205771059</v>
      </c>
      <c r="Z122" s="72">
        <f>(SUM($D$118:Z118)*$C$109)</f>
        <v>41620604.715124287</v>
      </c>
      <c r="AA122" s="72">
        <f>(SUM($D$118:AA118)*$C$109)</f>
        <v>43430196.224477522</v>
      </c>
      <c r="AB122" s="72">
        <f>(SUM($D$118:AB118)*$C$109)</f>
        <v>45239787.73383075</v>
      </c>
      <c r="AC122" s="72">
        <f>(SUM($D$118:AC118)*$C$109)</f>
        <v>47049379.243183978</v>
      </c>
      <c r="AD122" s="72">
        <f>(SUM($D$118:AD118)*$C$109)</f>
        <v>48858970.752537206</v>
      </c>
      <c r="AE122" s="72">
        <f>(SUM($D$118:AE118)*$C$109)</f>
        <v>50668562.261890441</v>
      </c>
      <c r="AF122" s="72">
        <f>(SUM($D$118:AF118)*$C$109)</f>
        <v>52478153.771243669</v>
      </c>
      <c r="AG122" s="72">
        <f>(SUM($D$118:AG118)*$C$109)</f>
        <v>54287745.280596897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199</v>
      </c>
      <c r="C126" s="71">
        <v>52327.6</v>
      </c>
      <c r="D126" s="140"/>
    </row>
    <row r="127" spans="1:33" x14ac:dyDescent="0.35">
      <c r="A127" s="77" t="s">
        <v>152</v>
      </c>
      <c r="B127" s="77" t="s">
        <v>134</v>
      </c>
      <c r="C127" s="71">
        <v>42174.700000000004</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47251.15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17500.425925925927</v>
      </c>
      <c r="D135" s="157">
        <f t="shared" ref="D135:AG135" si="14">$C$135*D13</f>
        <v>18094.612878416334</v>
      </c>
      <c r="E135" s="157">
        <f t="shared" si="14"/>
        <v>18708.974090436433</v>
      </c>
      <c r="F135" s="157">
        <f t="shared" si="14"/>
        <v>19344.194532845762</v>
      </c>
      <c r="G135" s="157">
        <f t="shared" si="14"/>
        <v>20000.982433123398</v>
      </c>
      <c r="H135" s="157">
        <f t="shared" si="14"/>
        <v>20680.070064993302</v>
      </c>
      <c r="I135" s="157">
        <f t="shared" si="14"/>
        <v>21382.214564859598</v>
      </c>
      <c r="J135" s="157">
        <f t="shared" si="14"/>
        <v>22108.198775962032</v>
      </c>
      <c r="K135" s="157">
        <f t="shared" si="14"/>
        <v>22858.832121192794</v>
      </c>
      <c r="L135" s="157">
        <f t="shared" si="14"/>
        <v>23634.951505547877</v>
      </c>
      <c r="M135" s="157">
        <f t="shared" si="14"/>
        <v>24437.422249219046</v>
      </c>
      <c r="N135" s="157">
        <f t="shared" si="14"/>
        <v>25267.139052366878</v>
      </c>
      <c r="O135" s="157">
        <f t="shared" si="14"/>
        <v>26125.026992650412</v>
      </c>
      <c r="P135" s="157">
        <f t="shared" si="14"/>
        <v>27012.042556625678</v>
      </c>
      <c r="Q135" s="157">
        <f t="shared" si="14"/>
        <v>27929.174706162965</v>
      </c>
      <c r="R135" s="157">
        <f t="shared" si="14"/>
        <v>28877.445981071898</v>
      </c>
      <c r="S135" s="157">
        <f t="shared" si="14"/>
        <v>29857.913639163566</v>
      </c>
      <c r="T135" s="157">
        <f t="shared" si="14"/>
        <v>30871.670835020937</v>
      </c>
      <c r="U135" s="157">
        <f t="shared" si="14"/>
        <v>31919.847838791633</v>
      </c>
      <c r="V135" s="157">
        <f t="shared" si="14"/>
        <v>33003.613296362091</v>
      </c>
      <c r="W135" s="157">
        <f t="shared" si="14"/>
        <v>34124.175532318048</v>
      </c>
      <c r="X135" s="157">
        <f t="shared" si="14"/>
        <v>35282.783897144058</v>
      </c>
      <c r="Y135" s="157">
        <f t="shared" si="14"/>
        <v>36480.730160164079</v>
      </c>
      <c r="Z135" s="157">
        <f t="shared" si="14"/>
        <v>37719.349949776188</v>
      </c>
      <c r="AA135" s="157">
        <f t="shared" si="14"/>
        <v>39000.024242587198</v>
      </c>
      <c r="AB135" s="157">
        <f t="shared" si="14"/>
        <v>40324.180903107372</v>
      </c>
      <c r="AC135" s="157">
        <f t="shared" si="14"/>
        <v>41693.296275722023</v>
      </c>
      <c r="AD135" s="157">
        <f t="shared" si="14"/>
        <v>43108.896830714802</v>
      </c>
      <c r="AE135" s="157">
        <f t="shared" si="14"/>
        <v>44572.560866178013</v>
      </c>
      <c r="AF135" s="157">
        <f t="shared" si="14"/>
        <v>46085.920267707326</v>
      </c>
      <c r="AG135" s="157">
        <f t="shared" si="14"/>
        <v>47650.662327842991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0.25</v>
      </c>
      <c r="F4" s="65">
        <v>0.25</v>
      </c>
      <c r="G4" s="65">
        <v>0.2</v>
      </c>
      <c r="H4" s="65">
        <v>0.18</v>
      </c>
      <c r="I4" s="65">
        <v>0.18</v>
      </c>
      <c r="J4" s="65">
        <v>0.15</v>
      </c>
      <c r="K4" s="65">
        <v>7.0000000000000007E-2</v>
      </c>
      <c r="L4" s="65">
        <v>7.0000000000000007E-2</v>
      </c>
      <c r="M4" s="65">
        <v>0.05</v>
      </c>
      <c r="N4" s="65">
        <v>0.04</v>
      </c>
      <c r="O4" s="65">
        <v>0.03</v>
      </c>
      <c r="P4" s="65">
        <v>0.03</v>
      </c>
      <c r="Q4" s="65">
        <v>2.5000000000000001E-2</v>
      </c>
      <c r="R4" s="65">
        <v>2.1999999999999999E-2</v>
      </c>
      <c r="S4" s="65">
        <v>2.1999999999999999E-2</v>
      </c>
      <c r="T4" s="65">
        <v>2.1999999999999999E-2</v>
      </c>
      <c r="U4" s="65">
        <v>2.1999999999999999E-2</v>
      </c>
      <c r="V4" s="65">
        <v>2.1999999999999999E-2</v>
      </c>
      <c r="W4" s="65">
        <v>2.1999999999999999E-2</v>
      </c>
      <c r="X4" s="65">
        <v>2.1999999999999999E-2</v>
      </c>
      <c r="Y4" s="65">
        <v>2.1999999999999999E-2</v>
      </c>
      <c r="Z4" s="65">
        <v>2.1999999999999999E-2</v>
      </c>
      <c r="AA4" s="65">
        <v>0.02</v>
      </c>
      <c r="AB4" s="65">
        <v>0.02</v>
      </c>
      <c r="AC4" s="65">
        <v>1.7999999999999999E-2</v>
      </c>
      <c r="AD4" s="65">
        <v>1.7999999999999999E-2</v>
      </c>
      <c r="AE4" s="65">
        <v>1.7999999999999999E-2</v>
      </c>
      <c r="AF4" s="65">
        <v>1.7999999999999999E-2</v>
      </c>
      <c r="AG4" s="65">
        <v>1.7999999999999999E-2</v>
      </c>
      <c r="AH4" s="65">
        <v>1.7999999999999999E-2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2.4742039133987705</v>
      </c>
      <c r="C6" s="25"/>
      <c r="D6" s="25"/>
      <c r="E6" s="27">
        <f>'Debt worksheet'!C5/'Profit and Loss'!C5</f>
        <v>0.38279704381762858</v>
      </c>
      <c r="F6" s="28">
        <f ca="1">'Debt worksheet'!D5/'Profit and Loss'!D5</f>
        <v>1.4407572803162891</v>
      </c>
      <c r="G6" s="28">
        <f ca="1">'Debt worksheet'!E5/'Profit and Loss'!E5</f>
        <v>2.0423335008014512</v>
      </c>
      <c r="H6" s="28">
        <f ca="1">'Debt worksheet'!F5/'Profit and Loss'!F5</f>
        <v>2.3554124616739784</v>
      </c>
      <c r="I6" s="28">
        <f ca="1">'Debt worksheet'!G5/'Profit and Loss'!G5</f>
        <v>2.4400479674270756</v>
      </c>
      <c r="J6" s="28">
        <f ca="1">'Debt worksheet'!H5/'Profit and Loss'!H5</f>
        <v>2.4126927442640413</v>
      </c>
      <c r="K6" s="28">
        <f ca="1">'Debt worksheet'!I5/'Profit and Loss'!I5</f>
        <v>2.4393357804474665</v>
      </c>
      <c r="L6" s="28">
        <f ca="1">'Debt worksheet'!J5/'Profit and Loss'!J5</f>
        <v>2.422868449476856</v>
      </c>
      <c r="M6" s="28">
        <f ca="1">'Debt worksheet'!K5/'Profit and Loss'!K5</f>
        <v>2.4114276260189484</v>
      </c>
      <c r="N6" s="28">
        <f ca="1">'Debt worksheet'!L5/'Profit and Loss'!L5</f>
        <v>2.4012827509540009</v>
      </c>
      <c r="O6" s="28">
        <f ca="1">'Debt worksheet'!M5/'Profit and Loss'!M5</f>
        <v>2.4015208861259416</v>
      </c>
      <c r="P6" s="28">
        <f ca="1">'Debt worksheet'!N5/'Profit and Loss'!N5</f>
        <v>2.3976892848553266</v>
      </c>
      <c r="Q6" s="28">
        <f ca="1">'Debt worksheet'!O5/'Profit and Loss'!O5</f>
        <v>2.4006576190795408</v>
      </c>
      <c r="R6" s="28">
        <f ca="1">'Debt worksheet'!P5/'Profit and Loss'!P5</f>
        <v>2.4098192898883384</v>
      </c>
      <c r="S6" s="28">
        <f ca="1">'Debt worksheet'!Q5/'Profit and Loss'!Q5</f>
        <v>2.4202401167332335</v>
      </c>
      <c r="T6" s="28">
        <f ca="1">'Debt worksheet'!R5/'Profit and Loss'!R5</f>
        <v>2.4311378099724106</v>
      </c>
      <c r="U6" s="28">
        <f ca="1">'Debt worksheet'!S5/'Profit and Loss'!S5</f>
        <v>2.4417880210677478</v>
      </c>
      <c r="V6" s="28">
        <f ca="1">'Debt worksheet'!T5/'Profit and Loss'!T5</f>
        <v>2.4515213308634851</v>
      </c>
      <c r="W6" s="28">
        <f ca="1">'Debt worksheet'!U5/'Profit and Loss'!U5</f>
        <v>2.4597203722820185</v>
      </c>
      <c r="X6" s="28">
        <f ca="1">'Debt worksheet'!V5/'Profit and Loss'!V5</f>
        <v>2.4658170819047647</v>
      </c>
      <c r="Y6" s="28">
        <f ca="1">'Debt worksheet'!W5/'Profit and Loss'!W5</f>
        <v>2.4692900751230815</v>
      </c>
      <c r="Z6" s="28">
        <f ca="1">'Debt worksheet'!X5/'Profit and Loss'!X5</f>
        <v>2.4696621397529728</v>
      </c>
      <c r="AA6" s="28">
        <f ca="1">'Debt worksheet'!Y5/'Profit and Loss'!Y5</f>
        <v>2.4713341134889246</v>
      </c>
      <c r="AB6" s="28">
        <f ca="1">'Debt worksheet'!Z5/'Profit and Loss'!Z5</f>
        <v>2.4709820597260537</v>
      </c>
      <c r="AC6" s="28">
        <f ca="1">'Debt worksheet'!AA5/'Profit and Loss'!AA5</f>
        <v>2.4730413371792488</v>
      </c>
      <c r="AD6" s="28">
        <f ca="1">'Debt worksheet'!AB5/'Profit and Loss'!AB5</f>
        <v>2.4742039133987705</v>
      </c>
      <c r="AE6" s="28">
        <f ca="1">'Debt worksheet'!AC5/'Profit and Loss'!AC5</f>
        <v>2.4740757098108679</v>
      </c>
      <c r="AF6" s="28">
        <f ca="1">'Debt worksheet'!AD5/'Profit and Loss'!AD5</f>
        <v>2.4722903023648555</v>
      </c>
      <c r="AG6" s="28">
        <f ca="1">'Debt worksheet'!AE5/'Profit and Loss'!AE5</f>
        <v>2.4685076431534743</v>
      </c>
      <c r="AH6" s="28">
        <f ca="1">'Debt worksheet'!AF5/'Profit and Loss'!AF5</f>
        <v>2.4624128322715557</v>
      </c>
      <c r="AI6" s="31"/>
    </row>
    <row r="7" spans="1:35" ht="21" x14ac:dyDescent="0.5">
      <c r="A7" s="19" t="s">
        <v>39</v>
      </c>
      <c r="B7" s="26">
        <f ca="1">MIN('Price and Financial ratios'!E7:AH7)</f>
        <v>0.20752627531635298</v>
      </c>
      <c r="C7" s="26"/>
      <c r="D7" s="26"/>
      <c r="E7" s="56">
        <f ca="1">'Cash Flow'!C7/'Debt worksheet'!C5</f>
        <v>1.20133746036107</v>
      </c>
      <c r="F7" s="32">
        <f ca="1">'Cash Flow'!D7/'Debt worksheet'!D5</f>
        <v>0.33746449227917047</v>
      </c>
      <c r="G7" s="32">
        <f ca="1">'Cash Flow'!E7/'Debt worksheet'!E5</f>
        <v>0.24880381278289063</v>
      </c>
      <c r="H7" s="32">
        <f ca="1">'Cash Flow'!F7/'Debt worksheet'!F5</f>
        <v>0.2264251108425272</v>
      </c>
      <c r="I7" s="32">
        <f ca="1">'Cash Flow'!G7/'Debt worksheet'!G5</f>
        <v>0.23222144217553967</v>
      </c>
      <c r="J7" s="32">
        <f ca="1">'Cash Flow'!H7/'Debt worksheet'!H5</f>
        <v>0.246174039842424</v>
      </c>
      <c r="K7" s="32">
        <f ca="1">'Cash Flow'!I7/'Debt worksheet'!I5</f>
        <v>0.24377380932562703</v>
      </c>
      <c r="L7" s="32">
        <f ca="1">'Cash Flow'!J7/'Debt worksheet'!J5</f>
        <v>0.24702380255266371</v>
      </c>
      <c r="M7" s="17">
        <f ca="1">'Cash Flow'!K7/'Debt worksheet'!K5</f>
        <v>0.24755341077572585</v>
      </c>
      <c r="N7" s="17">
        <f ca="1">'Cash Flow'!L7/'Debt worksheet'!L5</f>
        <v>0.24703511814823823</v>
      </c>
      <c r="O7" s="17">
        <f ca="1">'Cash Flow'!M7/'Debt worksheet'!M5</f>
        <v>0.24428511395521874</v>
      </c>
      <c r="P7" s="17">
        <f ca="1">'Cash Flow'!N7/'Debt worksheet'!N5</f>
        <v>0.24238508560967223</v>
      </c>
      <c r="Q7" s="17">
        <f ca="1">'Cash Flow'!O7/'Debt worksheet'!O5</f>
        <v>0.23928944275874761</v>
      </c>
      <c r="R7" s="17">
        <f ca="1">'Cash Flow'!P7/'Debt worksheet'!P5</f>
        <v>0.23534467884108881</v>
      </c>
      <c r="S7" s="17">
        <f ca="1">'Cash Flow'!Q7/'Debt worksheet'!Q5</f>
        <v>0.23156439313030225</v>
      </c>
      <c r="T7" s="17">
        <f ca="1">'Cash Flow'!R7/'Debt worksheet'!R5</f>
        <v>0.22802263720684074</v>
      </c>
      <c r="U7" s="17">
        <f ca="1">'Cash Flow'!S7/'Debt worksheet'!S5</f>
        <v>0.22478171990089954</v>
      </c>
      <c r="V7" s="17">
        <f ca="1">'Cash Flow'!T7/'Debt worksheet'!T5</f>
        <v>0.22189391899284092</v>
      </c>
      <c r="W7" s="17">
        <f ca="1">'Cash Flow'!U7/'Debt worksheet'!U5</f>
        <v>0.21940332669479637</v>
      </c>
      <c r="X7" s="17">
        <f ca="1">'Cash Flow'!V7/'Debt worksheet'!V5</f>
        <v>0.21734771660724403</v>
      </c>
      <c r="Y7" s="17">
        <f ca="1">'Cash Flow'!W7/'Debt worksheet'!W5</f>
        <v>0.21576036495361522</v>
      </c>
      <c r="Z7" s="17">
        <f ca="1">'Cash Flow'!X7/'Debt worksheet'!X5</f>
        <v>0.21467179539764747</v>
      </c>
      <c r="AA7" s="17">
        <f ca="1">'Cash Flow'!Y7/'Debt worksheet'!Y5</f>
        <v>0.21328925730157475</v>
      </c>
      <c r="AB7" s="17">
        <f ca="1">'Cash Flow'!Z7/'Debt worksheet'!Z5</f>
        <v>0.21226782716697618</v>
      </c>
      <c r="AC7" s="17">
        <f ca="1">'Cash Flow'!AA7/'Debt worksheet'!AA5</f>
        <v>0.21081487522655179</v>
      </c>
      <c r="AD7" s="17">
        <f ca="1">'Cash Flow'!AB7/'Debt worksheet'!AB5</f>
        <v>0.209588667927746</v>
      </c>
      <c r="AE7" s="17">
        <f ca="1">'Cash Flow'!AC7/'Debt worksheet'!AC5</f>
        <v>0.20861949477219768</v>
      </c>
      <c r="AF7" s="17">
        <f ca="1">'Cash Flow'!AD7/'Debt worksheet'!AD5</f>
        <v>0.20793529731309934</v>
      </c>
      <c r="AG7" s="17">
        <f ca="1">'Cash Flow'!AE7/'Debt worksheet'!AE5</f>
        <v>0.20756240378963461</v>
      </c>
      <c r="AH7" s="17">
        <f ca="1">'Cash Flow'!AF7/'Debt worksheet'!AF5</f>
        <v>0.20752627531635298</v>
      </c>
      <c r="AI7" s="29"/>
    </row>
    <row r="8" spans="1:35" ht="21" x14ac:dyDescent="0.5">
      <c r="A8" s="19" t="s">
        <v>34</v>
      </c>
      <c r="B8" s="26">
        <f ca="1">MAX('Price and Financial ratios'!E8:AH8)</f>
        <v>0.43440655987687293</v>
      </c>
      <c r="C8" s="26"/>
      <c r="D8" s="176"/>
      <c r="E8" s="17">
        <f>'Balance Sheet'!B11/'Balance Sheet'!B8</f>
        <v>4.289195635036315E-2</v>
      </c>
      <c r="F8" s="17">
        <f ca="1">'Balance Sheet'!C11/'Balance Sheet'!C8</f>
        <v>0.20654042643104351</v>
      </c>
      <c r="G8" s="17">
        <f ca="1">'Balance Sheet'!D11/'Balance Sheet'!D8</f>
        <v>0.30795534363818772</v>
      </c>
      <c r="H8" s="17">
        <f ca="1">'Balance Sheet'!E11/'Balance Sheet'!E8</f>
        <v>0.37452101089095535</v>
      </c>
      <c r="I8" s="17">
        <f ca="1">'Balance Sheet'!F11/'Balance Sheet'!F8</f>
        <v>0.41525259084420812</v>
      </c>
      <c r="J8" s="17">
        <f ca="1">'Balance Sheet'!G11/'Balance Sheet'!G8</f>
        <v>0.43336363710329096</v>
      </c>
      <c r="K8" s="17">
        <f ca="1">'Balance Sheet'!H11/'Balance Sheet'!H8</f>
        <v>0.43440655987687293</v>
      </c>
      <c r="L8" s="17">
        <f ca="1">'Balance Sheet'!I11/'Balance Sheet'!I8</f>
        <v>0.43118597587798713</v>
      </c>
      <c r="M8" s="17">
        <f ca="1">'Balance Sheet'!J11/'Balance Sheet'!J8</f>
        <v>0.42365604712834293</v>
      </c>
      <c r="N8" s="17">
        <f ca="1">'Balance Sheet'!K11/'Balance Sheet'!K8</f>
        <v>0.41485168480474893</v>
      </c>
      <c r="O8" s="17">
        <f ca="1">'Balance Sheet'!L11/'Balance Sheet'!L8</f>
        <v>0.40604340499831304</v>
      </c>
      <c r="P8" s="17">
        <f ca="1">'Balance Sheet'!M11/'Balance Sheet'!M8</f>
        <v>0.39844014878521505</v>
      </c>
      <c r="Q8" s="17">
        <f ca="1">'Balance Sheet'!N11/'Balance Sheet'!N8</f>
        <v>0.3916457367487593</v>
      </c>
      <c r="R8" s="17">
        <f ca="1">'Balance Sheet'!O11/'Balance Sheet'!O8</f>
        <v>0.38610268995841202</v>
      </c>
      <c r="S8" s="17">
        <f ca="1">'Balance Sheet'!P11/'Balance Sheet'!P8</f>
        <v>0.38195313956729821</v>
      </c>
      <c r="T8" s="17">
        <f ca="1">'Balance Sheet'!Q11/'Balance Sheet'!Q8</f>
        <v>0.37891297433005183</v>
      </c>
      <c r="U8" s="17">
        <f ca="1">'Balance Sheet'!R11/'Balance Sheet'!R8</f>
        <v>0.37674484214892756</v>
      </c>
      <c r="V8" s="17">
        <f ca="1">'Balance Sheet'!S11/'Balance Sheet'!S8</f>
        <v>0.37524734242415392</v>
      </c>
      <c r="W8" s="17">
        <f ca="1">'Balance Sheet'!T11/'Balance Sheet'!T8</f>
        <v>0.3742470044747927</v>
      </c>
      <c r="X8" s="17">
        <f ca="1">'Balance Sheet'!U11/'Balance Sheet'!U8</f>
        <v>0.37359224631345517</v>
      </c>
      <c r="Y8" s="17">
        <f ca="1">'Balance Sheet'!V11/'Balance Sheet'!V8</f>
        <v>0.3731487637288155</v>
      </c>
      <c r="Z8" s="17">
        <f ca="1">'Balance Sheet'!W11/'Balance Sheet'!W8</f>
        <v>0.37279596750982297</v>
      </c>
      <c r="AA8" s="17">
        <f ca="1">'Balance Sheet'!X11/'Balance Sheet'!X8</f>
        <v>0.37242419899830587</v>
      </c>
      <c r="AB8" s="17">
        <f ca="1">'Balance Sheet'!Y11/'Balance Sheet'!Y8</f>
        <v>0.37222275577856906</v>
      </c>
      <c r="AC8" s="17">
        <f ca="1">'Balance Sheet'!Z11/'Balance Sheet'!Z8</f>
        <v>0.37209388142733696</v>
      </c>
      <c r="AD8" s="17">
        <f ca="1">'Balance Sheet'!AA11/'Balance Sheet'!AA8</f>
        <v>0.37223834380706544</v>
      </c>
      <c r="AE8" s="17">
        <f ca="1">'Balance Sheet'!AB11/'Balance Sheet'!AB8</f>
        <v>0.37256892066700481</v>
      </c>
      <c r="AF8" s="17">
        <f ca="1">'Balance Sheet'!AC11/'Balance Sheet'!AC8</f>
        <v>0.37300507270713729</v>
      </c>
      <c r="AG8" s="17">
        <f ca="1">'Balance Sheet'!AD11/'Balance Sheet'!AD8</f>
        <v>0.37347179945044034</v>
      </c>
      <c r="AH8" s="17">
        <f ca="1">'Balance Sheet'!AE11/'Balance Sheet'!AE8</f>
        <v>0.37389869303003404</v>
      </c>
      <c r="AI8" s="29"/>
    </row>
    <row r="9" spans="1:35" ht="21.5" thickBot="1" x14ac:dyDescent="0.55000000000000004">
      <c r="A9" s="20" t="s">
        <v>33</v>
      </c>
      <c r="B9" s="21">
        <f ca="1">MIN('Price and Financial ratios'!E9:AH9)</f>
        <v>6.0520308641554008</v>
      </c>
      <c r="C9" s="21"/>
      <c r="D9" s="177"/>
      <c r="E9" s="21">
        <f ca="1">('Cash Flow'!C7+'Profit and Loss'!C8)/('Profit and Loss'!C8)</f>
        <v>8.0560887919178885</v>
      </c>
      <c r="F9" s="21">
        <f ca="1">('Cash Flow'!D7+'Profit and Loss'!D8)/('Profit and Loss'!D8)</f>
        <v>6.4820409740301059</v>
      </c>
      <c r="G9" s="21">
        <f ca="1">('Cash Flow'!E7+'Profit and Loss'!E8)/('Profit and Loss'!E8)</f>
        <v>6.0520308641554008</v>
      </c>
      <c r="H9" s="21">
        <f ca="1">('Cash Flow'!F7+'Profit and Loss'!F8)/('Profit and Loss'!F8)</f>
        <v>6.118497133452923</v>
      </c>
      <c r="I9" s="21">
        <f ca="1">('Cash Flow'!G7+'Profit and Loss'!G8)/('Profit and Loss'!G8)</f>
        <v>6.6432865299477477</v>
      </c>
      <c r="J9" s="21">
        <f ca="1">('Cash Flow'!H7+'Profit and Loss'!H8)/('Profit and Loss'!H8)</f>
        <v>7.2881107952947026</v>
      </c>
      <c r="K9" s="21">
        <f ca="1">('Cash Flow'!I7+'Profit and Loss'!I8)/('Profit and Loss'!I8)</f>
        <v>7.338351151704404</v>
      </c>
      <c r="L9" s="21">
        <f ca="1">('Cash Flow'!J7+'Profit and Loss'!J8)/('Profit and Loss'!J8)</f>
        <v>7.5318527313682671</v>
      </c>
      <c r="M9" s="21">
        <f ca="1">('Cash Flow'!K7+'Profit and Loss'!K8)/('Profit and Loss'!K8)</f>
        <v>7.6053796495437256</v>
      </c>
      <c r="N9" s="21">
        <f ca="1">('Cash Flow'!L7+'Profit and Loss'!L8)/('Profit and Loss'!L8)</f>
        <v>7.6268887976782107</v>
      </c>
      <c r="O9" s="21">
        <f ca="1">('Cash Flow'!M7+'Profit and Loss'!M8)/('Profit and Loss'!M8)</f>
        <v>7.5642410733146033</v>
      </c>
      <c r="P9" s="21">
        <f ca="1">('Cash Flow'!N7+'Profit and Loss'!N8)/('Profit and Loss'!N8)</f>
        <v>7.5264344905536484</v>
      </c>
      <c r="Q9" s="21">
        <f ca="1">('Cash Flow'!O7+'Profit and Loss'!O8)/('Profit and Loss'!O8)</f>
        <v>7.4453969593891358</v>
      </c>
      <c r="R9" s="21">
        <f ca="1">('Cash Flow'!P7+'Profit and Loss'!P8)/('Profit and Loss'!P8)</f>
        <v>7.3359360749718556</v>
      </c>
      <c r="S9" s="21">
        <f ca="1">('Cash Flow'!Q7+'Profit and Loss'!Q8)/('Profit and Loss'!Q8)</f>
        <v>7.2330561648806873</v>
      </c>
      <c r="T9" s="21">
        <f ca="1">('Cash Flow'!R7+'Profit and Loss'!R8)/('Profit and Loss'!R8)</f>
        <v>7.1384675660004939</v>
      </c>
      <c r="U9" s="21">
        <f ca="1">('Cash Flow'!S7+'Profit and Loss'!S8)/('Profit and Loss'!S8)</f>
        <v>7.0535990764196015</v>
      </c>
      <c r="V9" s="21">
        <f ca="1">('Cash Flow'!T7+'Profit and Loss'!T8)/('Profit and Loss'!T8)</f>
        <v>6.979649402365335</v>
      </c>
      <c r="W9" s="21">
        <f ca="1">('Cash Flow'!U7+'Profit and Loss'!U8)/('Profit and Loss'!U8)</f>
        <v>6.9176390556406364</v>
      </c>
      <c r="X9" s="21">
        <f ca="1">('Cash Flow'!V7+'Profit and Loss'!V8)/('Profit and Loss'!V8)</f>
        <v>6.8684608330081796</v>
      </c>
      <c r="Y9" s="21">
        <f ca="1">('Cash Flow'!W7+'Profit and Loss'!W8)/('Profit and Loss'!W8)</f>
        <v>6.8329280222182041</v>
      </c>
      <c r="Z9" s="21">
        <f ca="1">('Cash Flow'!X7+'Profit and Loss'!X8)/('Profit and Loss'!X8)</f>
        <v>6.8118202643019776</v>
      </c>
      <c r="AA9" s="21">
        <f ca="1">('Cash Flow'!Y7+'Profit and Loss'!Y8)/('Profit and Loss'!Y8)</f>
        <v>6.7791232975785842</v>
      </c>
      <c r="AB9" s="21">
        <f ca="1">('Cash Flow'!Z7+'Profit and Loss'!Z8)/('Profit and Loss'!Z8)</f>
        <v>6.7571280767325117</v>
      </c>
      <c r="AC9" s="21">
        <f ca="1">('Cash Flow'!AA7+'Profit and Loss'!AA8)/('Profit and Loss'!AA8)</f>
        <v>6.7197972967571893</v>
      </c>
      <c r="AD9" s="21">
        <f ca="1">('Cash Flow'!AB7+'Profit and Loss'!AB8)/('Profit and Loss'!AB8)</f>
        <v>6.689496068981045</v>
      </c>
      <c r="AE9" s="21">
        <f ca="1">('Cash Flow'!AC7+'Profit and Loss'!AC8)/('Profit and Loss'!AC8)</f>
        <v>6.6669829976036317</v>
      </c>
      <c r="AF9" s="21">
        <f ca="1">('Cash Flow'!AD7+'Profit and Loss'!AD8)/('Profit and Loss'!AD8)</f>
        <v>6.6529703424439983</v>
      </c>
      <c r="AG9" s="21">
        <f ca="1">('Cash Flow'!AE7+'Profit and Loss'!AE8)/('Profit and Loss'!AE8)</f>
        <v>6.6481445439293969</v>
      </c>
      <c r="AH9" s="21">
        <f ca="1">('Cash Flow'!AF7+'Profit and Loss'!AF8)/('Profit and Loss'!AF8)</f>
        <v>6.6531869854933969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10410135.110318977</v>
      </c>
      <c r="D5" s="1">
        <f>Assumptions!E111</f>
        <v>10410135.110318977</v>
      </c>
      <c r="E5" s="1">
        <f>Assumptions!F111</f>
        <v>10410135.110318977</v>
      </c>
      <c r="F5" s="1">
        <f>Assumptions!G111</f>
        <v>10410135.110318977</v>
      </c>
      <c r="G5" s="1">
        <f>Assumptions!H111</f>
        <v>10410135.110318977</v>
      </c>
      <c r="H5" s="1">
        <f>Assumptions!I111</f>
        <v>10410135.110318977</v>
      </c>
      <c r="I5" s="1">
        <f>Assumptions!J111</f>
        <v>10410135.110318977</v>
      </c>
      <c r="J5" s="1">
        <f>Assumptions!K111</f>
        <v>10410135.110318977</v>
      </c>
      <c r="K5" s="1">
        <f>Assumptions!L111</f>
        <v>10410135.110318977</v>
      </c>
      <c r="L5" s="1">
        <f>Assumptions!M111</f>
        <v>10410135.110318977</v>
      </c>
      <c r="M5" s="1">
        <f>Assumptions!N111</f>
        <v>10410135.110318977</v>
      </c>
      <c r="N5" s="1">
        <f>Assumptions!O111</f>
        <v>10410135.110318977</v>
      </c>
      <c r="O5" s="1">
        <f>Assumptions!P111</f>
        <v>10410135.110318977</v>
      </c>
      <c r="P5" s="1">
        <f>Assumptions!Q111</f>
        <v>10410135.110318977</v>
      </c>
      <c r="Q5" s="1">
        <f>Assumptions!R111</f>
        <v>10410135.110318977</v>
      </c>
      <c r="R5" s="1">
        <f>Assumptions!S111</f>
        <v>10410135.110318977</v>
      </c>
      <c r="S5" s="1">
        <f>Assumptions!T111</f>
        <v>10410135.110318977</v>
      </c>
      <c r="T5" s="1">
        <f>Assumptions!U111</f>
        <v>10410135.110318977</v>
      </c>
      <c r="U5" s="1">
        <f>Assumptions!V111</f>
        <v>10410135.110318977</v>
      </c>
      <c r="V5" s="1">
        <f>Assumptions!W111</f>
        <v>10410135.110318977</v>
      </c>
      <c r="W5" s="1">
        <f>Assumptions!X111</f>
        <v>10410135.110318977</v>
      </c>
      <c r="X5" s="1">
        <f>Assumptions!Y111</f>
        <v>10410135.110318977</v>
      </c>
      <c r="Y5" s="1">
        <f>Assumptions!Z111</f>
        <v>10410135.110318977</v>
      </c>
      <c r="Z5" s="1">
        <f>Assumptions!AA111</f>
        <v>10410135.110318977</v>
      </c>
      <c r="AA5" s="1">
        <f>Assumptions!AB111</f>
        <v>10410135.110318977</v>
      </c>
      <c r="AB5" s="1">
        <f>Assumptions!AC111</f>
        <v>10410135.110318977</v>
      </c>
      <c r="AC5" s="1">
        <f>Assumptions!AD111</f>
        <v>10410135.110318977</v>
      </c>
      <c r="AD5" s="1">
        <f>Assumptions!AE111</f>
        <v>10410135.110318977</v>
      </c>
      <c r="AE5" s="1">
        <f>Assumptions!AF111</f>
        <v>10410135.110318977</v>
      </c>
      <c r="AF5" s="1">
        <f>Assumptions!AG111</f>
        <v>10410135.110318977</v>
      </c>
    </row>
    <row r="6" spans="1:32" x14ac:dyDescent="0.35">
      <c r="A6" t="s">
        <v>69</v>
      </c>
      <c r="C6" s="1">
        <f>Assumptions!D113</f>
        <v>60319716.978441</v>
      </c>
      <c r="D6" s="1">
        <f>Assumptions!E113</f>
        <v>60319716.978441</v>
      </c>
      <c r="E6" s="1">
        <f>Assumptions!F113</f>
        <v>60319716.978441</v>
      </c>
      <c r="F6" s="1">
        <f>Assumptions!G113</f>
        <v>60319716.978441</v>
      </c>
      <c r="G6" s="1">
        <f>Assumptions!H113</f>
        <v>60319716.978441</v>
      </c>
      <c r="H6" s="1">
        <f>Assumptions!I113</f>
        <v>60319716.978441</v>
      </c>
      <c r="I6" s="1">
        <f>Assumptions!J113</f>
        <v>60319716.978441</v>
      </c>
      <c r="J6" s="1">
        <f>Assumptions!K113</f>
        <v>60319716.978441</v>
      </c>
      <c r="K6" s="1">
        <f>Assumptions!L113</f>
        <v>60319716.978441</v>
      </c>
      <c r="L6" s="1">
        <f>Assumptions!M113</f>
        <v>60319716.978441</v>
      </c>
      <c r="M6" s="1">
        <f>Assumptions!N113</f>
        <v>60319716.978441</v>
      </c>
      <c r="N6" s="1">
        <f>Assumptions!O113</f>
        <v>60319716.978441</v>
      </c>
      <c r="O6" s="1">
        <f>Assumptions!P113</f>
        <v>60319716.978441</v>
      </c>
      <c r="P6" s="1">
        <f>Assumptions!Q113</f>
        <v>60319716.978441</v>
      </c>
      <c r="Q6" s="1">
        <f>Assumptions!R113</f>
        <v>60319716.978441</v>
      </c>
      <c r="R6" s="1">
        <f>Assumptions!S113</f>
        <v>60319716.978441</v>
      </c>
      <c r="S6" s="1">
        <f>Assumptions!T113</f>
        <v>60319716.978441</v>
      </c>
      <c r="T6" s="1">
        <f>Assumptions!U113</f>
        <v>60319716.978441</v>
      </c>
      <c r="U6" s="1">
        <f>Assumptions!V113</f>
        <v>60319716.978441</v>
      </c>
      <c r="V6" s="1">
        <f>Assumptions!W113</f>
        <v>60319716.978441</v>
      </c>
      <c r="W6" s="1">
        <f>Assumptions!X113</f>
        <v>60319716.978441</v>
      </c>
      <c r="X6" s="1">
        <f>Assumptions!Y113</f>
        <v>60319716.978441</v>
      </c>
      <c r="Y6" s="1">
        <f>Assumptions!Z113</f>
        <v>60319716.978441</v>
      </c>
      <c r="Z6" s="1">
        <f>Assumptions!AA113</f>
        <v>60319716.978441</v>
      </c>
      <c r="AA6" s="1">
        <f>Assumptions!AB113</f>
        <v>60319716.978441</v>
      </c>
      <c r="AB6" s="1">
        <f>Assumptions!AC113</f>
        <v>60319716.978441</v>
      </c>
      <c r="AC6" s="1">
        <f>Assumptions!AD113</f>
        <v>60319716.978441</v>
      </c>
      <c r="AD6" s="1">
        <f>Assumptions!AE113</f>
        <v>60319716.978441</v>
      </c>
      <c r="AE6" s="1">
        <f>Assumptions!AF113</f>
        <v>60319716.978441</v>
      </c>
      <c r="AF6" s="1">
        <f>Assumptions!AG113</f>
        <v>60319716.978441</v>
      </c>
    </row>
    <row r="7" spans="1:32" x14ac:dyDescent="0.35">
      <c r="A7" t="s">
        <v>74</v>
      </c>
      <c r="C7" s="1">
        <f>Assumptions!D120</f>
        <v>1447673.2074825838</v>
      </c>
      <c r="D7" s="1">
        <f>Assumptions!E120</f>
        <v>2895346.4149651676</v>
      </c>
      <c r="E7" s="1">
        <f>Assumptions!F120</f>
        <v>4343019.6224477524</v>
      </c>
      <c r="F7" s="1">
        <f>Assumptions!G120</f>
        <v>5790692.8299303353</v>
      </c>
      <c r="G7" s="1">
        <f>Assumptions!H120</f>
        <v>7238366.03741292</v>
      </c>
      <c r="H7" s="1">
        <f>Assumptions!I120</f>
        <v>8686039.2448955048</v>
      </c>
      <c r="I7" s="1">
        <f>Assumptions!J120</f>
        <v>10133712.452378087</v>
      </c>
      <c r="J7" s="1">
        <f>Assumptions!K120</f>
        <v>11581385.659860671</v>
      </c>
      <c r="K7" s="1">
        <f>Assumptions!L120</f>
        <v>13029058.867343256</v>
      </c>
      <c r="L7" s="1">
        <f>Assumptions!M120</f>
        <v>14476732.07482584</v>
      </c>
      <c r="M7" s="1">
        <f>Assumptions!N120</f>
        <v>15924405.282308424</v>
      </c>
      <c r="N7" s="1">
        <f>Assumptions!O120</f>
        <v>17372078.48979101</v>
      </c>
      <c r="O7" s="1">
        <f>Assumptions!P120</f>
        <v>18819751.69727359</v>
      </c>
      <c r="P7" s="1">
        <f>Assumptions!Q120</f>
        <v>20267424.904756173</v>
      </c>
      <c r="Q7" s="1">
        <f>Assumptions!R120</f>
        <v>21715098.112238761</v>
      </c>
      <c r="R7" s="1">
        <f>Assumptions!S120</f>
        <v>23162771.319721341</v>
      </c>
      <c r="S7" s="1">
        <f>Assumptions!T120</f>
        <v>24610444.527203925</v>
      </c>
      <c r="T7" s="1">
        <f>Assumptions!U120</f>
        <v>26058117.734686513</v>
      </c>
      <c r="U7" s="1">
        <f>Assumptions!V120</f>
        <v>27505790.942169093</v>
      </c>
      <c r="V7" s="1">
        <f>Assumptions!W120</f>
        <v>28953464.14965168</v>
      </c>
      <c r="W7" s="1">
        <f>Assumptions!X120</f>
        <v>30401137.35713426</v>
      </c>
      <c r="X7" s="1">
        <f>Assumptions!Y120</f>
        <v>31848810.564616848</v>
      </c>
      <c r="Y7" s="1">
        <f>Assumptions!Z120</f>
        <v>33296483.772099432</v>
      </c>
      <c r="Z7" s="1">
        <f>Assumptions!AA120</f>
        <v>34744156.979582019</v>
      </c>
      <c r="AA7" s="1">
        <f>Assumptions!AB120</f>
        <v>36191830.187064603</v>
      </c>
      <c r="AB7" s="1">
        <f>Assumptions!AC120</f>
        <v>37639503.394547179</v>
      </c>
      <c r="AC7" s="1">
        <f>Assumptions!AD120</f>
        <v>39087176.602029771</v>
      </c>
      <c r="AD7" s="1">
        <f>Assumptions!AE120</f>
        <v>40534849.809512347</v>
      </c>
      <c r="AE7" s="1">
        <f>Assumptions!AF120</f>
        <v>41982523.016994938</v>
      </c>
      <c r="AF7" s="1">
        <f>Assumptions!AG120</f>
        <v>43430196.224477522</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10743259.433849186</v>
      </c>
      <c r="D11" s="1">
        <f>D5*D$9</f>
        <v>11087043.735732358</v>
      </c>
      <c r="E11" s="1">
        <f t="shared" ref="D11:AF13" si="1">E5*E$9</f>
        <v>11441829.135275792</v>
      </c>
      <c r="F11" s="1">
        <f t="shared" si="1"/>
        <v>11807967.667604618</v>
      </c>
      <c r="G11" s="1">
        <f t="shared" si="1"/>
        <v>12185822.632967968</v>
      </c>
      <c r="H11" s="1">
        <f t="shared" si="1"/>
        <v>12575768.95722294</v>
      </c>
      <c r="I11" s="1">
        <f t="shared" si="1"/>
        <v>12978193.563854074</v>
      </c>
      <c r="J11" s="1">
        <f t="shared" si="1"/>
        <v>13393495.757897405</v>
      </c>
      <c r="K11" s="1">
        <f t="shared" si="1"/>
        <v>13822087.622150123</v>
      </c>
      <c r="L11" s="1">
        <f t="shared" si="1"/>
        <v>14264394.426058926</v>
      </c>
      <c r="M11" s="1">
        <f t="shared" si="1"/>
        <v>14720855.047692811</v>
      </c>
      <c r="N11" s="1">
        <f t="shared" si="1"/>
        <v>15191922.409218982</v>
      </c>
      <c r="O11" s="1">
        <f t="shared" si="1"/>
        <v>15678063.926313991</v>
      </c>
      <c r="P11" s="1">
        <f t="shared" si="1"/>
        <v>16179761.971956035</v>
      </c>
      <c r="Q11" s="1">
        <f t="shared" si="1"/>
        <v>16697514.355058625</v>
      </c>
      <c r="R11" s="1">
        <f t="shared" si="1"/>
        <v>17231834.814420506</v>
      </c>
      <c r="S11" s="1">
        <f t="shared" si="1"/>
        <v>17783253.528481964</v>
      </c>
      <c r="T11" s="1">
        <f t="shared" si="1"/>
        <v>18352317.641393386</v>
      </c>
      <c r="U11" s="1">
        <f t="shared" si="1"/>
        <v>18939591.805917971</v>
      </c>
      <c r="V11" s="1">
        <f t="shared" si="1"/>
        <v>19545658.743707348</v>
      </c>
      <c r="W11" s="1">
        <f t="shared" si="1"/>
        <v>20171119.823505986</v>
      </c>
      <c r="X11" s="1">
        <f t="shared" si="1"/>
        <v>20816595.657858174</v>
      </c>
      <c r="Y11" s="1">
        <f t="shared" si="1"/>
        <v>21482726.718909632</v>
      </c>
      <c r="Z11" s="1">
        <f t="shared" si="1"/>
        <v>22170173.973914742</v>
      </c>
      <c r="AA11" s="1">
        <f t="shared" si="1"/>
        <v>22879619.54108002</v>
      </c>
      <c r="AB11" s="1">
        <f t="shared" si="1"/>
        <v>23611767.366394576</v>
      </c>
      <c r="AC11" s="1">
        <f t="shared" si="1"/>
        <v>24367343.9221192</v>
      </c>
      <c r="AD11" s="1">
        <f t="shared" si="1"/>
        <v>25147098.927627016</v>
      </c>
      <c r="AE11" s="1">
        <f t="shared" si="1"/>
        <v>25951806.093311083</v>
      </c>
      <c r="AF11" s="1">
        <f t="shared" si="1"/>
        <v>26782263.888297033</v>
      </c>
    </row>
    <row r="12" spans="1:32" x14ac:dyDescent="0.35">
      <c r="A12" t="s">
        <v>72</v>
      </c>
      <c r="C12" s="1">
        <f t="shared" ref="C12:R12" si="2">C6*C$9</f>
        <v>62249947.921751112</v>
      </c>
      <c r="D12" s="1">
        <f t="shared" si="2"/>
        <v>64241946.255247146</v>
      </c>
      <c r="E12" s="1">
        <f t="shared" si="2"/>
        <v>66297688.535415053</v>
      </c>
      <c r="F12" s="1">
        <f t="shared" si="2"/>
        <v>68419214.568548337</v>
      </c>
      <c r="G12" s="1">
        <f t="shared" si="2"/>
        <v>70608629.434741884</v>
      </c>
      <c r="H12" s="1">
        <f t="shared" si="2"/>
        <v>72868105.576653615</v>
      </c>
      <c r="I12" s="1">
        <f t="shared" si="2"/>
        <v>75199884.955106527</v>
      </c>
      <c r="J12" s="1">
        <f t="shared" si="2"/>
        <v>77606281.273669943</v>
      </c>
      <c r="K12" s="1">
        <f t="shared" si="2"/>
        <v>80089682.274427384</v>
      </c>
      <c r="L12" s="1">
        <f t="shared" si="2"/>
        <v>82652552.107209057</v>
      </c>
      <c r="M12" s="1">
        <f t="shared" si="2"/>
        <v>85297433.774639741</v>
      </c>
      <c r="N12" s="1">
        <f t="shared" si="2"/>
        <v>88026951.655428216</v>
      </c>
      <c r="O12" s="1">
        <f t="shared" si="2"/>
        <v>90843814.108401924</v>
      </c>
      <c r="P12" s="1">
        <f t="shared" si="2"/>
        <v>93750816.159870774</v>
      </c>
      <c r="Q12" s="1">
        <f t="shared" si="2"/>
        <v>96750842.276986629</v>
      </c>
      <c r="R12" s="1">
        <f t="shared" si="2"/>
        <v>99846869.229850218</v>
      </c>
      <c r="S12" s="1">
        <f t="shared" si="1"/>
        <v>103041969.04520543</v>
      </c>
      <c r="T12" s="1">
        <f t="shared" si="1"/>
        <v>106339312.05465199</v>
      </c>
      <c r="U12" s="1">
        <f t="shared" si="1"/>
        <v>109742170.04040085</v>
      </c>
      <c r="V12" s="1">
        <f t="shared" si="1"/>
        <v>113253919.48169369</v>
      </c>
      <c r="W12" s="1">
        <f t="shared" si="1"/>
        <v>116878044.9051079</v>
      </c>
      <c r="X12" s="1">
        <f t="shared" si="1"/>
        <v>120618142.34207134</v>
      </c>
      <c r="Y12" s="1">
        <f t="shared" si="1"/>
        <v>124477922.8970176</v>
      </c>
      <c r="Z12" s="1">
        <f t="shared" si="1"/>
        <v>128461216.42972216</v>
      </c>
      <c r="AA12" s="1">
        <f t="shared" si="1"/>
        <v>132571975.35547331</v>
      </c>
      <c r="AB12" s="1">
        <f t="shared" si="1"/>
        <v>136814278.56684843</v>
      </c>
      <c r="AC12" s="1">
        <f t="shared" si="1"/>
        <v>141192335.48098758</v>
      </c>
      <c r="AD12" s="1">
        <f t="shared" si="1"/>
        <v>145710490.2163792</v>
      </c>
      <c r="AE12" s="1">
        <f t="shared" si="1"/>
        <v>150373225.90330333</v>
      </c>
      <c r="AF12" s="1">
        <f t="shared" si="1"/>
        <v>155185169.132209</v>
      </c>
    </row>
    <row r="13" spans="1:32" x14ac:dyDescent="0.35">
      <c r="A13" t="s">
        <v>75</v>
      </c>
      <c r="C13" s="1">
        <f>C7*C$9</f>
        <v>1493998.7501220265</v>
      </c>
      <c r="D13" s="1">
        <f t="shared" si="1"/>
        <v>3083613.4202518626</v>
      </c>
      <c r="E13" s="1">
        <f t="shared" si="1"/>
        <v>4773433.5745498836</v>
      </c>
      <c r="F13" s="1">
        <f t="shared" si="1"/>
        <v>6568244.5985806389</v>
      </c>
      <c r="G13" s="1">
        <f t="shared" si="1"/>
        <v>8473035.5321690273</v>
      </c>
      <c r="H13" s="1">
        <f t="shared" si="1"/>
        <v>10493007.203038123</v>
      </c>
      <c r="I13" s="1">
        <f t="shared" si="1"/>
        <v>12633580.672457894</v>
      </c>
      <c r="J13" s="1">
        <f t="shared" si="1"/>
        <v>14900406.004544627</v>
      </c>
      <c r="K13" s="1">
        <f t="shared" si="1"/>
        <v>17299371.371276315</v>
      </c>
      <c r="L13" s="1">
        <f t="shared" si="1"/>
        <v>19836612.505730174</v>
      </c>
      <c r="M13" s="1">
        <f t="shared" si="1"/>
        <v>22518522.516504891</v>
      </c>
      <c r="N13" s="1">
        <f t="shared" si="1"/>
        <v>25351762.076763328</v>
      </c>
      <c r="O13" s="1">
        <f t="shared" si="1"/>
        <v>28343270.001821399</v>
      </c>
      <c r="P13" s="1">
        <f t="shared" si="1"/>
        <v>31500274.229716577</v>
      </c>
      <c r="Q13" s="1">
        <f t="shared" si="1"/>
        <v>34830303.219715185</v>
      </c>
      <c r="R13" s="1">
        <f t="shared" si="1"/>
        <v>38341197.784262478</v>
      </c>
      <c r="S13" s="1">
        <f t="shared" si="1"/>
        <v>42041123.370443814</v>
      </c>
      <c r="T13" s="1">
        <f t="shared" si="1"/>
        <v>45938582.807609662</v>
      </c>
      <c r="U13" s="1">
        <f t="shared" si="1"/>
        <v>50042429.538422778</v>
      </c>
      <c r="V13" s="1">
        <f t="shared" si="1"/>
        <v>54361881.351212971</v>
      </c>
      <c r="W13" s="1">
        <f t="shared" si="1"/>
        <v>58906534.632174373</v>
      </c>
      <c r="X13" s="1">
        <f t="shared" si="1"/>
        <v>63686379.156613663</v>
      </c>
      <c r="Y13" s="1">
        <f t="shared" si="1"/>
        <v>68711813.439153716</v>
      </c>
      <c r="Z13" s="1">
        <f t="shared" si="1"/>
        <v>73993660.663519979</v>
      </c>
      <c r="AA13" s="1">
        <f t="shared" si="1"/>
        <v>79543185.213283986</v>
      </c>
      <c r="AB13" s="1">
        <f t="shared" si="1"/>
        <v>85372109.825713411</v>
      </c>
      <c r="AC13" s="1">
        <f t="shared" si="1"/>
        <v>91492633.391679943</v>
      </c>
      <c r="AD13" s="1">
        <f t="shared" si="1"/>
        <v>97917449.425406799</v>
      </c>
      <c r="AE13" s="1">
        <f t="shared" si="1"/>
        <v>104659765.22869912</v>
      </c>
      <c r="AF13" s="1">
        <f t="shared" si="1"/>
        <v>111733321.77519049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74487206.105722323</v>
      </c>
      <c r="D25" s="40">
        <f>SUM(D11:D13,D18:D23)</f>
        <v>78412603.411231369</v>
      </c>
      <c r="E25" s="40">
        <f t="shared" ref="E25:AF25" si="7">SUM(E11:E13,E18:E23)</f>
        <v>82512951.245240733</v>
      </c>
      <c r="F25" s="40">
        <f t="shared" si="7"/>
        <v>86795426.83473359</v>
      </c>
      <c r="G25" s="40">
        <f t="shared" si="7"/>
        <v>91267487.599878877</v>
      </c>
      <c r="H25" s="40">
        <f t="shared" si="7"/>
        <v>95936881.736914679</v>
      </c>
      <c r="I25" s="40">
        <f t="shared" si="7"/>
        <v>100811659.19141848</v>
      </c>
      <c r="J25" s="40">
        <f t="shared" si="7"/>
        <v>105900183.03611198</v>
      </c>
      <c r="K25" s="40">
        <f t="shared" si="7"/>
        <v>111211141.26785383</v>
      </c>
      <c r="L25" s="40">
        <f t="shared" si="7"/>
        <v>116753559.03899816</v>
      </c>
      <c r="M25" s="40">
        <f t="shared" si="7"/>
        <v>122536811.33883744</v>
      </c>
      <c r="N25" s="40">
        <f t="shared" si="7"/>
        <v>128570636.14141053</v>
      </c>
      <c r="O25" s="40">
        <f t="shared" si="7"/>
        <v>134865148.03653732</v>
      </c>
      <c r="P25" s="40">
        <f t="shared" si="7"/>
        <v>141430852.36154339</v>
      </c>
      <c r="Q25" s="40">
        <f t="shared" si="7"/>
        <v>148278659.85176045</v>
      </c>
      <c r="R25" s="40">
        <f t="shared" si="7"/>
        <v>155419901.8285332</v>
      </c>
      <c r="S25" s="40">
        <f t="shared" si="7"/>
        <v>162866345.9441312</v>
      </c>
      <c r="T25" s="40">
        <f t="shared" si="7"/>
        <v>170630212.50365502</v>
      </c>
      <c r="U25" s="40">
        <f t="shared" si="7"/>
        <v>178724191.3847416</v>
      </c>
      <c r="V25" s="40">
        <f t="shared" si="7"/>
        <v>187161459.57661399</v>
      </c>
      <c r="W25" s="40">
        <f t="shared" si="7"/>
        <v>195955699.36078826</v>
      </c>
      <c r="X25" s="40">
        <f t="shared" si="7"/>
        <v>205121117.1565432</v>
      </c>
      <c r="Y25" s="40">
        <f t="shared" si="7"/>
        <v>214672463.05508095</v>
      </c>
      <c r="Z25" s="40">
        <f t="shared" si="7"/>
        <v>224625051.06715688</v>
      </c>
      <c r="AA25" s="40">
        <f t="shared" si="7"/>
        <v>234994780.10983732</v>
      </c>
      <c r="AB25" s="40">
        <f t="shared" si="7"/>
        <v>245798155.75895643</v>
      </c>
      <c r="AC25" s="40">
        <f t="shared" si="7"/>
        <v>257052312.79478672</v>
      </c>
      <c r="AD25" s="40">
        <f t="shared" si="7"/>
        <v>268775038.56941301</v>
      </c>
      <c r="AE25" s="40">
        <f t="shared" si="7"/>
        <v>280984797.22531354</v>
      </c>
      <c r="AF25" s="40">
        <f t="shared" si="7"/>
        <v>293700754.7956965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38411999.87689887</v>
      </c>
      <c r="D5" s="59">
        <f>C5*('Price and Financial ratios'!F4+1)*(1+Assumptions!$C$13)</f>
        <v>49645239.393043987</v>
      </c>
      <c r="E5" s="59">
        <f>D5*('Price and Financial ratios'!G4+1)*(1+Assumptions!$C$13)</f>
        <v>61596995.996032491</v>
      </c>
      <c r="F5" s="59">
        <f>E5*('Price and Financial ratios'!H4+1)*(1+Assumptions!$C$13)</f>
        <v>75152289.781533733</v>
      </c>
      <c r="G5" s="59">
        <f>F5*('Price and Financial ratios'!I4+1)*(1+Assumptions!$C$13)</f>
        <v>91690618.480346069</v>
      </c>
      <c r="H5" s="59">
        <f>G5*('Price and Financial ratios'!J4+1)*(1+Assumptions!$C$13)</f>
        <v>109024328.37680458</v>
      </c>
      <c r="I5" s="59">
        <f>H5*('Price and Financial ratios'!K4+1)*(1+Assumptions!$C$13)</f>
        <v>120616820.20676136</v>
      </c>
      <c r="J5" s="59">
        <f>I5*('Price and Financial ratios'!L4+1)*(1+Assumptions!$C$13)</f>
        <v>133441934.78091115</v>
      </c>
      <c r="K5" s="59">
        <f>J5*('Price and Financial ratios'!M4+1)*(1+Assumptions!$C$13)</f>
        <v>144871283.12871051</v>
      </c>
      <c r="L5" s="59">
        <f>K5*('Price and Financial ratios'!N4+1)*(1+Assumptions!$C$13)</f>
        <v>155781658.59330422</v>
      </c>
      <c r="M5" s="59">
        <f>L5*('Price and Financial ratios'!O4+1)*(1+Assumptions!$C$13)</f>
        <v>165902994.71948129</v>
      </c>
      <c r="N5" s="59">
        <f>M5*('Price and Financial ratios'!P4+1)*(1+Assumptions!$C$13)</f>
        <v>176681927.16286346</v>
      </c>
      <c r="O5" s="59">
        <f>N5*('Price and Financial ratios'!Q4+1)*(1+Assumptions!$C$13)</f>
        <v>187247777.01756433</v>
      </c>
      <c r="P5" s="59">
        <f>O5*('Price and Financial ratios'!R4+1)*(1+Assumptions!$C$13)</f>
        <v>197864664.83490068</v>
      </c>
      <c r="Q5" s="59">
        <f>P5*('Price and Financial ratios'!S4+1)*(1+Assumptions!$C$13)</f>
        <v>209083526.72488692</v>
      </c>
      <c r="R5" s="59">
        <f>Q5*('Price and Financial ratios'!T4+1)*(1+Assumptions!$C$13)</f>
        <v>220938494.42088765</v>
      </c>
      <c r="S5" s="59">
        <f>R5*('Price and Financial ratios'!U4+1)*(1+Assumptions!$C$13)</f>
        <v>233465634.91440457</v>
      </c>
      <c r="T5" s="59">
        <f>S5*('Price and Financial ratios'!V4+1)*(1+Assumptions!$C$13)</f>
        <v>246703060.18358111</v>
      </c>
      <c r="U5" s="59">
        <f>T5*('Price and Financial ratios'!W4+1)*(1+Assumptions!$C$13)</f>
        <v>260691043.1432772</v>
      </c>
      <c r="V5" s="59">
        <f>U5*('Price and Financial ratios'!X4+1)*(1+Assumptions!$C$13)</f>
        <v>275472140.1694755</v>
      </c>
      <c r="W5" s="59">
        <f>V5*('Price and Financial ratios'!Y4+1)*(1+Assumptions!$C$13)</f>
        <v>291091320.57078165</v>
      </c>
      <c r="X5" s="59">
        <f>W5*('Price and Financial ratios'!Z4+1)*(1+Assumptions!$C$13)</f>
        <v>307596103.4009158</v>
      </c>
      <c r="Y5" s="59">
        <f>X5*('Price and Financial ratios'!AA4+1)*(1+Assumptions!$C$13)</f>
        <v>324400622.37670934</v>
      </c>
      <c r="Z5" s="59">
        <f>Y5*('Price and Financial ratios'!AB4+1)*(1+Assumptions!$C$13)</f>
        <v>342123201.93547374</v>
      </c>
      <c r="AA5" s="59">
        <f>Z5*('Price and Financial ratios'!AC4+1)*(1+Assumptions!$C$13)</f>
        <v>360106518.92386222</v>
      </c>
      <c r="AB5" s="59">
        <f>AA5*('Price and Financial ratios'!AD4+1)*(1+Assumptions!$C$13)</f>
        <v>379035108.51602417</v>
      </c>
      <c r="AC5" s="59">
        <f>AB5*('Price and Financial ratios'!AE4+1)*(1+Assumptions!$C$13)</f>
        <v>398958657.89125037</v>
      </c>
      <c r="AD5" s="59">
        <f>AC5*('Price and Financial ratios'!AF4+1)*(1+Assumptions!$C$13)</f>
        <v>419929465.97889817</v>
      </c>
      <c r="AE5" s="59">
        <f>AD5*('Price and Financial ratios'!AG4+1)*(1+Assumptions!$C$13)</f>
        <v>442002580.74206328</v>
      </c>
      <c r="AF5" s="59">
        <f>AE5*('Price and Financial ratios'!AH4+1)*(1+Assumptions!$C$13)</f>
        <v>465235943.67741156</v>
      </c>
    </row>
    <row r="6" spans="1:32" s="11" customFormat="1" x14ac:dyDescent="0.35">
      <c r="A6" s="11" t="s">
        <v>20</v>
      </c>
      <c r="C6" s="59">
        <f>C27</f>
        <v>18244097.956649639</v>
      </c>
      <c r="D6" s="59">
        <f t="shared" ref="D6:AF6" si="1">D27</f>
        <v>21104448.068169408</v>
      </c>
      <c r="E6" s="59">
        <f>E27</f>
        <v>24101563.758503769</v>
      </c>
      <c r="F6" s="59">
        <f t="shared" si="1"/>
        <v>27241197.573213</v>
      </c>
      <c r="G6" s="59">
        <f t="shared" si="1"/>
        <v>30529352.43753973</v>
      </c>
      <c r="H6" s="59">
        <f t="shared" si="1"/>
        <v>33972293.487169906</v>
      </c>
      <c r="I6" s="59">
        <f t="shared" si="1"/>
        <v>37576560.502385236</v>
      </c>
      <c r="J6" s="59">
        <f t="shared" si="1"/>
        <v>41348980.977998078</v>
      </c>
      <c r="K6" s="59">
        <f t="shared" si="1"/>
        <v>45296683.863249101</v>
      </c>
      <c r="L6" s="59">
        <f t="shared" si="1"/>
        <v>49427114.007737033</v>
      </c>
      <c r="M6" s="59">
        <f t="shared" si="1"/>
        <v>53748047.351445153</v>
      </c>
      <c r="N6" s="59">
        <f t="shared" si="1"/>
        <v>58267606.899036363</v>
      </c>
      <c r="O6" s="59">
        <f t="shared" si="1"/>
        <v>62994279.520813487</v>
      </c>
      <c r="P6" s="59">
        <f t="shared" si="1"/>
        <v>67936933.625091955</v>
      </c>
      <c r="Q6" s="59">
        <f t="shared" si="1"/>
        <v>73104837.749213532</v>
      </c>
      <c r="R6" s="59">
        <f t="shared" si="1"/>
        <v>78507680.119051278</v>
      </c>
      <c r="S6" s="59">
        <f t="shared" si="1"/>
        <v>84155589.229624242</v>
      </c>
      <c r="T6" s="59">
        <f t="shared" si="1"/>
        <v>90059155.502364367</v>
      </c>
      <c r="U6" s="59">
        <f t="shared" si="1"/>
        <v>96229454.077666014</v>
      </c>
      <c r="V6" s="59">
        <f t="shared" si="1"/>
        <v>102678068.804611</v>
      </c>
      <c r="W6" s="59">
        <f t="shared" si="1"/>
        <v>109417117.49320605</v>
      </c>
      <c r="X6" s="59">
        <f t="shared" si="1"/>
        <v>116459278.49810952</v>
      </c>
      <c r="Y6" s="59">
        <f t="shared" si="1"/>
        <v>123817818.70666695</v>
      </c>
      <c r="Z6" s="59">
        <f t="shared" si="1"/>
        <v>131506623.0081349</v>
      </c>
      <c r="AA6" s="59">
        <f t="shared" si="1"/>
        <v>139540225.32526112</v>
      </c>
      <c r="AB6" s="59">
        <f t="shared" si="1"/>
        <v>147933841.29391763</v>
      </c>
      <c r="AC6" s="59">
        <f t="shared" si="1"/>
        <v>156703402.68126878</v>
      </c>
      <c r="AD6" s="59">
        <f t="shared" si="1"/>
        <v>165865593.63800955</v>
      </c>
      <c r="AE6" s="59">
        <f t="shared" si="1"/>
        <v>175437888.88554788</v>
      </c>
      <c r="AF6" s="59">
        <f t="shared" si="1"/>
        <v>185438593.94464466</v>
      </c>
    </row>
    <row r="7" spans="1:32" x14ac:dyDescent="0.35">
      <c r="A7" t="s">
        <v>21</v>
      </c>
      <c r="C7" s="4">
        <f>Depreciation!C8+Depreciation!C9</f>
        <v>12237258.183971211</v>
      </c>
      <c r="D7" s="4">
        <f>Depreciation!D8+Depreciation!D9</f>
        <v>14170657.155984221</v>
      </c>
      <c r="E7" s="4">
        <f>Depreciation!E8+Depreciation!E9</f>
        <v>16215262.709825676</v>
      </c>
      <c r="F7" s="4">
        <f>Depreciation!F8+Depreciation!F9</f>
        <v>18376212.266185258</v>
      </c>
      <c r="G7" s="4">
        <f>Depreciation!G8+Depreciation!G9</f>
        <v>20658858.165136993</v>
      </c>
      <c r="H7" s="4">
        <f>Depreciation!H8+Depreciation!H9</f>
        <v>23068776.160261065</v>
      </c>
      <c r="I7" s="4">
        <f>Depreciation!I8+Depreciation!I9</f>
        <v>25611774.236311968</v>
      </c>
      <c r="J7" s="4">
        <f>Depreciation!J8+Depreciation!J9</f>
        <v>28293901.76244203</v>
      </c>
      <c r="K7" s="4">
        <f>Depreciation!K8+Depreciation!K9</f>
        <v>31121458.993426438</v>
      </c>
      <c r="L7" s="4">
        <f>Depreciation!L8+Depreciation!L9</f>
        <v>34101006.9317891</v>
      </c>
      <c r="M7" s="4">
        <f>Depreciation!M8+Depreciation!M9</f>
        <v>37239377.564197704</v>
      </c>
      <c r="N7" s="4">
        <f>Depreciation!N8+Depreciation!N9</f>
        <v>40543684.485982314</v>
      </c>
      <c r="O7" s="4">
        <f>Depreciation!O8+Depreciation!O9</f>
        <v>44021333.928135388</v>
      </c>
      <c r="P7" s="4">
        <f>Depreciation!P8+Depreciation!P9</f>
        <v>47680036.201672614</v>
      </c>
      <c r="Q7" s="4">
        <f>Depreciation!Q8+Depreciation!Q9</f>
        <v>51527817.574773811</v>
      </c>
      <c r="R7" s="4">
        <f>Depreciation!R8+Depreciation!R9</f>
        <v>55573032.598682985</v>
      </c>
      <c r="S7" s="4">
        <f>Depreciation!S8+Depreciation!S9</f>
        <v>59824376.898925781</v>
      </c>
      <c r="T7" s="4">
        <f>Depreciation!T8+Depreciation!T9</f>
        <v>64290900.449003048</v>
      </c>
      <c r="U7" s="4">
        <f>Depreciation!U8+Depreciation!U9</f>
        <v>68982021.344340742</v>
      </c>
      <c r="V7" s="4">
        <f>Depreciation!V8+Depreciation!V9</f>
        <v>73907540.094920322</v>
      </c>
      <c r="W7" s="4">
        <f>Depreciation!W8+Depreciation!W9</f>
        <v>79077654.455680355</v>
      </c>
      <c r="X7" s="4">
        <f>Depreciation!X8+Depreciation!X9</f>
        <v>84502974.814471841</v>
      </c>
      <c r="Y7" s="4">
        <f>Depreciation!Y8+Depreciation!Y9</f>
        <v>90194540.158063352</v>
      </c>
      <c r="Z7" s="4">
        <f>Depreciation!Z8+Depreciation!Z9</f>
        <v>96163834.637434721</v>
      </c>
      <c r="AA7" s="4">
        <f>Depreciation!AA8+Depreciation!AA9</f>
        <v>102422804.75436401</v>
      </c>
      <c r="AB7" s="4">
        <f>Depreciation!AB8+Depreciation!AB9</f>
        <v>108983877.19210799</v>
      </c>
      <c r="AC7" s="4">
        <f>Depreciation!AC8+Depreciation!AC9</f>
        <v>115859977.31379914</v>
      </c>
      <c r="AD7" s="4">
        <f>Depreciation!AD8+Depreciation!AD9</f>
        <v>123064548.35303381</v>
      </c>
      <c r="AE7" s="4">
        <f>Depreciation!AE8+Depreciation!AE9</f>
        <v>130611571.3220102</v>
      </c>
      <c r="AF7" s="4">
        <f>Depreciation!AF8+Depreciation!AF9</f>
        <v>138515585.66348752</v>
      </c>
    </row>
    <row r="8" spans="1:32" x14ac:dyDescent="0.35">
      <c r="A8" t="s">
        <v>6</v>
      </c>
      <c r="C8" s="4">
        <f ca="1">'Debt worksheet'!C8</f>
        <v>2503435.9031000608</v>
      </c>
      <c r="D8" s="4">
        <f ca="1">'Debt worksheet'!D8</f>
        <v>4403056.2965000505</v>
      </c>
      <c r="E8" s="4">
        <f ca="1">'Debt worksheet'!E8</f>
        <v>6195512.39561655</v>
      </c>
      <c r="F8" s="4">
        <f ca="1">'Debt worksheet'!F8</f>
        <v>7830532.7539284974</v>
      </c>
      <c r="G8" s="4">
        <f ca="1">'Debt worksheet'!G8</f>
        <v>9206477.210804183</v>
      </c>
      <c r="H8" s="4">
        <f ca="1">'Debt worksheet'!H8</f>
        <v>10297872.383895319</v>
      </c>
      <c r="I8" s="4">
        <f ca="1">'Debt worksheet'!I8</f>
        <v>11315928.876623629</v>
      </c>
      <c r="J8" s="4">
        <f ca="1">'Debt worksheet'!J8</f>
        <v>12227131.502368487</v>
      </c>
      <c r="K8" s="4">
        <f ca="1">'Debt worksheet'!K8</f>
        <v>13092653.339328729</v>
      </c>
      <c r="L8" s="4">
        <f ca="1">'Debt worksheet'!L8</f>
        <v>13944682.741138667</v>
      </c>
      <c r="M8" s="4">
        <f ca="1">'Debt worksheet'!M8</f>
        <v>14826992.725509545</v>
      </c>
      <c r="N8" s="4">
        <f ca="1">'Debt worksheet'!N8</f>
        <v>15733123.089352297</v>
      </c>
      <c r="O8" s="4">
        <f ca="1">'Debt worksheet'!O8</f>
        <v>16688633.013725208</v>
      </c>
      <c r="P8" s="4">
        <f ca="1">'Debt worksheet'!P8</f>
        <v>17711131.869467277</v>
      </c>
      <c r="Q8" s="4">
        <f ca="1">'Debt worksheet'!Q8</f>
        <v>18799617.461274948</v>
      </c>
      <c r="R8" s="4">
        <f ca="1">'Debt worksheet'!R8</f>
        <v>19952575.673273925</v>
      </c>
      <c r="S8" s="4">
        <f ca="1">'Debt worksheet'!S8</f>
        <v>21167923.505027156</v>
      </c>
      <c r="T8" s="4">
        <f ca="1">'Debt worksheet'!T8</f>
        <v>22442947.439183932</v>
      </c>
      <c r="U8" s="4">
        <f ca="1">'Debt worksheet'!U8</f>
        <v>23774236.808656473</v>
      </c>
      <c r="V8" s="4">
        <f ca="1">'Debt worksheet'!V8</f>
        <v>25157611.809396587</v>
      </c>
      <c r="W8" s="4">
        <f ca="1">'Debt worksheet'!W8</f>
        <v>26588045.781667385</v>
      </c>
      <c r="X8" s="4">
        <f ca="1">'Debt worksheet'!X8</f>
        <v>28059581.358081017</v>
      </c>
      <c r="Y8" s="4">
        <f ca="1">'Debt worksheet'!Y8</f>
        <v>29588310.296950638</v>
      </c>
      <c r="Z8" s="4">
        <f ca="1">'Debt worksheet'!Z8</f>
        <v>31169540.748025149</v>
      </c>
      <c r="AA8" s="4">
        <f ca="1">'Debt worksheet'!AA8</f>
        <v>32823355.208205614</v>
      </c>
      <c r="AB8" s="4">
        <f ca="1">'Debt worksheet'!AB8</f>
        <v>34546887.364762031</v>
      </c>
      <c r="AC8" s="4">
        <f ca="1">'Debt worksheet'!AC8</f>
        <v>36336564.124590889</v>
      </c>
      <c r="AD8" s="4">
        <f ca="1">'Debt worksheet'!AD8</f>
        <v>38188036.209937036</v>
      </c>
      <c r="AE8" s="4">
        <f ca="1">'Debt worksheet'!AE8</f>
        <v>40096103.521082878</v>
      </c>
      <c r="AF8" s="4">
        <f ca="1">'Debt worksheet'!AF8</f>
        <v>42054634.920503028</v>
      </c>
    </row>
    <row r="9" spans="1:32" x14ac:dyDescent="0.35">
      <c r="A9" t="s">
        <v>22</v>
      </c>
      <c r="C9" s="4">
        <f ca="1">C5-C6-C7-C8</f>
        <v>5427207.8331779595</v>
      </c>
      <c r="D9" s="4">
        <f t="shared" ref="D9:AF9" ca="1" si="2">D5-D6-D7-D8</f>
        <v>9967077.8723903075</v>
      </c>
      <c r="E9" s="4">
        <f t="shared" ca="1" si="2"/>
        <v>15084657.132086501</v>
      </c>
      <c r="F9" s="4">
        <f t="shared" ca="1" si="2"/>
        <v>21704347.188206982</v>
      </c>
      <c r="G9" s="4">
        <f t="shared" ca="1" si="2"/>
        <v>31295930.666865166</v>
      </c>
      <c r="H9" s="4">
        <f t="shared" ca="1" si="2"/>
        <v>41685386.345478281</v>
      </c>
      <c r="I9" s="4">
        <f t="shared" ca="1" si="2"/>
        <v>46112556.591440529</v>
      </c>
      <c r="J9" s="4">
        <f t="shared" ca="1" si="2"/>
        <v>51571920.538102552</v>
      </c>
      <c r="K9" s="4">
        <f t="shared" ca="1" si="2"/>
        <v>55360486.932706244</v>
      </c>
      <c r="L9" s="4">
        <f t="shared" ca="1" si="2"/>
        <v>58308854.912639409</v>
      </c>
      <c r="M9" s="4">
        <f t="shared" ca="1" si="2"/>
        <v>60088577.078328885</v>
      </c>
      <c r="N9" s="4">
        <f t="shared" ca="1" si="2"/>
        <v>62137512.688492492</v>
      </c>
      <c r="O9" s="4">
        <f t="shared" ca="1" si="2"/>
        <v>63543530.55489023</v>
      </c>
      <c r="P9" s="4">
        <f t="shared" ca="1" si="2"/>
        <v>64536563.138668835</v>
      </c>
      <c r="Q9" s="4">
        <f t="shared" ca="1" si="2"/>
        <v>65651253.939624608</v>
      </c>
      <c r="R9" s="4">
        <f t="shared" ca="1" si="2"/>
        <v>66905206.029879466</v>
      </c>
      <c r="S9" s="4">
        <f t="shared" ca="1" si="2"/>
        <v>68317745.280827388</v>
      </c>
      <c r="T9" s="4">
        <f t="shared" ca="1" si="2"/>
        <v>69910056.79302977</v>
      </c>
      <c r="U9" s="4">
        <f t="shared" ca="1" si="2"/>
        <v>71705330.912613973</v>
      </c>
      <c r="V9" s="4">
        <f t="shared" ca="1" si="2"/>
        <v>73728919.460547596</v>
      </c>
      <c r="W9" s="4">
        <f t="shared" ca="1" si="2"/>
        <v>76008502.840227857</v>
      </c>
      <c r="X9" s="4">
        <f t="shared" ca="1" si="2"/>
        <v>78574268.730253428</v>
      </c>
      <c r="Y9" s="4">
        <f t="shared" ca="1" si="2"/>
        <v>80799953.215028405</v>
      </c>
      <c r="Z9" s="4">
        <f t="shared" ca="1" si="2"/>
        <v>83283203.541878968</v>
      </c>
      <c r="AA9" s="4">
        <f t="shared" ca="1" si="2"/>
        <v>85320133.636031479</v>
      </c>
      <c r="AB9" s="4">
        <f t="shared" ca="1" si="2"/>
        <v>87570502.665236533</v>
      </c>
      <c r="AC9" s="4">
        <f t="shared" ca="1" si="2"/>
        <v>90058713.771591559</v>
      </c>
      <c r="AD9" s="4">
        <f t="shared" ca="1" si="2"/>
        <v>92811287.777917773</v>
      </c>
      <c r="AE9" s="4">
        <f t="shared" ca="1" si="2"/>
        <v>95857017.01342231</v>
      </c>
      <c r="AF9" s="4">
        <f t="shared" ca="1" si="2"/>
        <v>99227129.148776323</v>
      </c>
    </row>
    <row r="12" spans="1:32" x14ac:dyDescent="0.35">
      <c r="A12" t="s">
        <v>80</v>
      </c>
      <c r="C12" s="2">
        <f>Assumptions!$C$25*Assumptions!D9*Assumptions!D13</f>
        <v>16394695.434090639</v>
      </c>
      <c r="D12" s="2">
        <f>Assumptions!$C$25*Assumptions!E9*Assumptions!E13</f>
        <v>17324269.31205881</v>
      </c>
      <c r="E12" s="2">
        <f>Assumptions!$C$25*Assumptions!F9*Assumptions!F13</f>
        <v>18306549.725386221</v>
      </c>
      <c r="F12" s="2">
        <f>Assumptions!$C$25*Assumptions!G9*Assumptions!G13</f>
        <v>19344525.117418155</v>
      </c>
      <c r="G12" s="2">
        <f>Assumptions!$C$25*Assumptions!H9*Assumptions!H13</f>
        <v>20441353.375261817</v>
      </c>
      <c r="H12" s="2">
        <f>Assumptions!$C$25*Assumptions!I9*Assumptions!I13</f>
        <v>21600371.437192276</v>
      </c>
      <c r="I12" s="2">
        <f>Assumptions!$C$25*Assumptions!J9*Assumptions!J13</f>
        <v>22825105.444795236</v>
      </c>
      <c r="J12" s="2">
        <f>Assumptions!$C$25*Assumptions!K9*Assumptions!K13</f>
        <v>24119281.470732961</v>
      </c>
      <c r="K12" s="2">
        <f>Assumptions!$C$25*Assumptions!L9*Assumptions!L13</f>
        <v>25486836.854771033</v>
      </c>
      <c r="L12" s="2">
        <f>Assumptions!$C$25*Assumptions!M9*Assumptions!M13</f>
        <v>26931932.182554159</v>
      </c>
      <c r="M12" s="2">
        <f>Assumptions!$C$25*Assumptions!N9*Assumptions!N13</f>
        <v>28458963.943574563</v>
      </c>
      <c r="N12" s="2">
        <f>Assumptions!$C$25*Assumptions!O9*Assumptions!O13</f>
        <v>30072577.906843182</v>
      </c>
      <c r="O12" s="2">
        <f>Assumptions!$C$25*Assumptions!P9*Assumptions!P13</f>
        <v>31777683.254956946</v>
      </c>
      <c r="P12" s="2">
        <f>Assumptions!$C$25*Assumptions!Q9*Assumptions!Q13</f>
        <v>33579467.519563079</v>
      </c>
      <c r="Q12" s="2">
        <f>Assumptions!$C$25*Assumptions!R9*Assumptions!R13</f>
        <v>35483412.363659412</v>
      </c>
      <c r="R12" s="2">
        <f>Assumptions!$C$25*Assumptions!S9*Assumptions!S13</f>
        <v>37495310.258745871</v>
      </c>
      <c r="S12" s="2">
        <f>Assumptions!$C$25*Assumptions!T9*Assumptions!T13</f>
        <v>39621282.10756512</v>
      </c>
      <c r="T12" s="2">
        <f>Assumptions!$C$25*Assumptions!U9*Assumptions!U13</f>
        <v>41867795.866046734</v>
      </c>
      <c r="U12" s="2">
        <f>Assumptions!$C$25*Assumptions!V9*Assumptions!V13</f>
        <v>44241686.221109591</v>
      </c>
      <c r="V12" s="2">
        <f>Assumptions!$C$25*Assumptions!W9*Assumptions!W13</f>
        <v>46750175.384189248</v>
      </c>
      <c r="W12" s="2">
        <f>Assumptions!$C$25*Assumptions!X9*Assumptions!X13</f>
        <v>49400895.063751467</v>
      </c>
      <c r="X12" s="2">
        <f>Assumptions!$C$25*Assumptions!Y9*Assumptions!Y13</f>
        <v>52201909.683640152</v>
      </c>
      <c r="Y12" s="2">
        <f>Assumptions!$C$25*Assumptions!Z9*Assumptions!Z13</f>
        <v>55161740.917897984</v>
      </c>
      <c r="Z12" s="2">
        <f>Assumptions!$C$25*Assumptions!AA9*Assumptions!AA13</f>
        <v>58289393.616703369</v>
      </c>
      <c r="AA12" s="2">
        <f>Assumptions!$C$25*Assumptions!AB9*Assumptions!AB13</f>
        <v>61594383.202299632</v>
      </c>
      <c r="AB12" s="2">
        <f>Assumptions!$C$25*Assumptions!AC9*Assumptions!AC13</f>
        <v>65086764.618264325</v>
      </c>
      <c r="AC12" s="2">
        <f>Assumptions!$C$25*Assumptions!AD9*Assumptions!AD13</f>
        <v>68777162.920192733</v>
      </c>
      <c r="AD12" s="2">
        <f>Assumptions!$C$25*Assumptions!AE9*Assumptions!AE13</f>
        <v>72676805.600863144</v>
      </c>
      <c r="AE12" s="2">
        <f>Assumptions!$C$25*Assumptions!AF9*Assumptions!AF13</f>
        <v>76797556.748228431</v>
      </c>
      <c r="AF12" s="2">
        <f>Assumptions!$C$25*Assumptions!AG9*Assumptions!AG13</f>
        <v>81151953.140154526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1849402.5225590011</v>
      </c>
      <c r="D14" s="5">
        <f>Assumptions!E122*Assumptions!E9</f>
        <v>3780178.7561105979</v>
      </c>
      <c r="E14" s="5">
        <f>Assumptions!F122*Assumptions!F9</f>
        <v>5795014.0331175476</v>
      </c>
      <c r="F14" s="5">
        <f>Assumptions!G122*Assumptions!G9</f>
        <v>7896672.4557948448</v>
      </c>
      <c r="G14" s="5">
        <f>Assumptions!H122*Assumptions!H9</f>
        <v>10087999.062277913</v>
      </c>
      <c r="H14" s="5">
        <f>Assumptions!I122*Assumptions!I9</f>
        <v>12371922.049977632</v>
      </c>
      <c r="I14" s="5">
        <f>Assumptions!J122*Assumptions!J9</f>
        <v>14751455.057589998</v>
      </c>
      <c r="J14" s="5">
        <f>Assumptions!K122*Assumptions!K9</f>
        <v>17229699.507265121</v>
      </c>
      <c r="K14" s="5">
        <f>Assumptions!L122*Assumptions!L9</f>
        <v>19809847.008478068</v>
      </c>
      <c r="L14" s="5">
        <f>Assumptions!M122*Assumptions!M9</f>
        <v>22495181.825182874</v>
      </c>
      <c r="M14" s="5">
        <f>Assumptions!N122*Assumptions!N9</f>
        <v>25289083.407870591</v>
      </c>
      <c r="N14" s="5">
        <f>Assumptions!O122*Assumptions!O9</f>
        <v>28195028.992193177</v>
      </c>
      <c r="O14" s="5">
        <f>Assumptions!P122*Assumptions!P9</f>
        <v>31216596.265856542</v>
      </c>
      <c r="P14" s="5">
        <f>Assumptions!Q122*Assumptions!Q9</f>
        <v>34357466.105528876</v>
      </c>
      <c r="Q14" s="5">
        <f>Assumptions!R122*Assumptions!R9</f>
        <v>37621425.38555412</v>
      </c>
      <c r="R14" s="5">
        <f>Assumptions!S122*Assumptions!S9</f>
        <v>41012369.860305399</v>
      </c>
      <c r="S14" s="5">
        <f>Assumptions!T122*Assumptions!T9</f>
        <v>44534307.122059122</v>
      </c>
      <c r="T14" s="5">
        <f>Assumptions!U122*Assumptions!U9</f>
        <v>48191359.636317626</v>
      </c>
      <c r="U14" s="5">
        <f>Assumptions!V122*Assumptions!V9</f>
        <v>51987767.856556423</v>
      </c>
      <c r="V14" s="5">
        <f>Assumptions!W122*Assumptions!W9</f>
        <v>55927893.420421757</v>
      </c>
      <c r="W14" s="5">
        <f>Assumptions!X122*Assumptions!X9</f>
        <v>60016222.429454595</v>
      </c>
      <c r="X14" s="5">
        <f>Assumptions!Y122*Assumptions!Y9</f>
        <v>64257368.814469375</v>
      </c>
      <c r="Y14" s="5">
        <f>Assumptions!Z122*Assumptions!Z9</f>
        <v>68656077.788768962</v>
      </c>
      <c r="Z14" s="5">
        <f>Assumptions!AA122*Assumptions!AA9</f>
        <v>73217229.39143154</v>
      </c>
      <c r="AA14" s="5">
        <f>Assumptions!AB122*Assumptions!AB9</f>
        <v>77945842.122961491</v>
      </c>
      <c r="AB14" s="5">
        <f>Assumptions!AC122*Assumptions!AC9</f>
        <v>82847076.675653309</v>
      </c>
      <c r="AC14" s="5">
        <f>Assumptions!AD122*Assumptions!AD9</f>
        <v>87926239.761076048</v>
      </c>
      <c r="AD14" s="5">
        <f>Assumptions!AE122*Assumptions!AE9</f>
        <v>93188788.037146389</v>
      </c>
      <c r="AE14" s="5">
        <f>Assumptions!AF122*Assumptions!AF9</f>
        <v>98640332.137319446</v>
      </c>
      <c r="AF14" s="5">
        <f>Assumptions!AG122*Assumptions!AG9</f>
        <v>104286640.80449013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18244097.956649639</v>
      </c>
      <c r="D27" s="2">
        <f t="shared" ref="D27:AF27" si="8">D12+D13+D14+D19+D20+D22+D24+D25</f>
        <v>21104448.068169408</v>
      </c>
      <c r="E27" s="2">
        <f t="shared" si="8"/>
        <v>24101563.758503769</v>
      </c>
      <c r="F27" s="2">
        <f t="shared" si="8"/>
        <v>27241197.573213</v>
      </c>
      <c r="G27" s="2">
        <f t="shared" si="8"/>
        <v>30529352.43753973</v>
      </c>
      <c r="H27" s="2">
        <f t="shared" si="8"/>
        <v>33972293.487169906</v>
      </c>
      <c r="I27" s="2">
        <f t="shared" si="8"/>
        <v>37576560.502385236</v>
      </c>
      <c r="J27" s="2">
        <f t="shared" si="8"/>
        <v>41348980.977998078</v>
      </c>
      <c r="K27" s="2">
        <f t="shared" si="8"/>
        <v>45296683.863249101</v>
      </c>
      <c r="L27" s="2">
        <f t="shared" si="8"/>
        <v>49427114.007737033</v>
      </c>
      <c r="M27" s="2">
        <f t="shared" si="8"/>
        <v>53748047.351445153</v>
      </c>
      <c r="N27" s="2">
        <f t="shared" si="8"/>
        <v>58267606.899036363</v>
      </c>
      <c r="O27" s="2">
        <f t="shared" si="8"/>
        <v>62994279.520813487</v>
      </c>
      <c r="P27" s="2">
        <f t="shared" si="8"/>
        <v>67936933.625091955</v>
      </c>
      <c r="Q27" s="2">
        <f t="shared" si="8"/>
        <v>73104837.749213532</v>
      </c>
      <c r="R27" s="2">
        <f t="shared" si="8"/>
        <v>78507680.119051278</v>
      </c>
      <c r="S27" s="2">
        <f t="shared" si="8"/>
        <v>84155589.229624242</v>
      </c>
      <c r="T27" s="2">
        <f t="shared" si="8"/>
        <v>90059155.502364367</v>
      </c>
      <c r="U27" s="2">
        <f t="shared" si="8"/>
        <v>96229454.077666014</v>
      </c>
      <c r="V27" s="2">
        <f t="shared" si="8"/>
        <v>102678068.804611</v>
      </c>
      <c r="W27" s="2">
        <f t="shared" si="8"/>
        <v>109417117.49320605</v>
      </c>
      <c r="X27" s="2">
        <f t="shared" si="8"/>
        <v>116459278.49810952</v>
      </c>
      <c r="Y27" s="2">
        <f t="shared" si="8"/>
        <v>123817818.70666695</v>
      </c>
      <c r="Z27" s="2">
        <f t="shared" si="8"/>
        <v>131506623.0081349</v>
      </c>
      <c r="AA27" s="2">
        <f t="shared" si="8"/>
        <v>139540225.32526112</v>
      </c>
      <c r="AB27" s="2">
        <f t="shared" si="8"/>
        <v>147933841.29391763</v>
      </c>
      <c r="AC27" s="2">
        <f t="shared" si="8"/>
        <v>156703402.68126878</v>
      </c>
      <c r="AD27" s="2">
        <f t="shared" si="8"/>
        <v>165865593.63800955</v>
      </c>
      <c r="AE27" s="2">
        <f t="shared" si="8"/>
        <v>175437888.88554788</v>
      </c>
      <c r="AF27" s="2">
        <f t="shared" si="8"/>
        <v>185438593.94464466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3W2DU3RAJ5R2-1900874439-836</_dlc_DocId>
    <_dlc_DocIdUrl xmlns="f54e2983-00ce-40fc-8108-18f351fc47bf">
      <Url>https://dia.cohesion.net.nz/Sites/LGV/TWRP/CAE/_layouts/15/DocIdRedir.aspx?ID=3W2DU3RAJ5R2-1900874439-836</Url>
      <Description>3W2DU3RAJ5R2-1900874439-836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FE0A26CC-4A22-40E1-B9AF-B870C259E813}"/>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D5CB3342-F674-42E5-AFE1-DC70B37F41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2021-06-28T22:02:41Z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ee060cfe-16e4-498a-b4d1-bceee9974bf1</vt:lpwstr>
  </property>
</Properties>
</file>