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 documentId="8_{63A17F14-0B95-4379-9F8C-3D47D6CF7C88}" xr6:coauthVersionLast="47" xr6:coauthVersionMax="47" xr10:uidLastSave="{97DA9BC2-8E57-412F-A3A4-D94D9099AEF2}"/>
  <bookViews>
    <workbookView xWindow="0" yWindow="38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"DtR_Solver"</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<sst xmlns="http://schemas.openxmlformats.org/spreadsheetml/2006/main" count="277" uniqueCount="205">
  <si>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</si>
  <si>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</si>
  <si>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</si>
  <si>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</si>
  <si>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</si>
  <si>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</si>
  <si>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</si>
  <si>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</si>
  <si>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</si>
  <si>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</si>
  <si>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</si>
  <si>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</si>
  <si>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</si>
  <si>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</si>
  <si>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</si>
  <si>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</si>
  <si>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</si>
  <si>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</si>
  <si>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</si>
  <si>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</si>
  <si>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</si>
  <si>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</si>
  <si>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</si>
  <si>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</si>
  <si>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</si>
  <si>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</si>
  <si>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</si>
  <si>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</si>
  <si>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</si>
  <si>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</si>
  <si>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</si>
  <si>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</si>
  <si>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</si>
  <si>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</si>
  <si>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</si>
  <si>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</si>
  <si>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</si>
  <si>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</si>
  <si>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</si>
  <si>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</si>
  <si>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</si>
  <si>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</si>
  <si>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</si>
  <si>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</si>
  <si>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</si>
  <si>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</si>
  <si>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</si>
  <si>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</si>
  <si>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</si>
  <si>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</si>
  <si>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</si>
  <si>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</si>
  <si>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</si>
  <si>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</si>
  <si>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</si>
  <si>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</si>
  <si>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</si>
  <si>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</si>
  <si>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</si>
  <si>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</si>
  <si>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</si>
  <si>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</si>
  <si>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</si>
  <si>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</si>
  <si>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</si>
  <si>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</si>
  <si>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</si>
  <si>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</si>
  <si>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</si>
  <si>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</si>
  <si>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</si>
  <si>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</si>
  <si>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</si>
  <si>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</si>
  <si>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</si>
  <si>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</si>
  <si>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</si>
  <si>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</si>
  <si>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</si>
  <si>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</si>
  <si>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</si>
  <si>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</si>
  <si>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</si>
  <si>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</si>
  <si>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</si>
  <si>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</si>
  <si>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</si>
  <si>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</si>
  <si>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</si>
  <si>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</si>
  <si>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</si>
  <si>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</si>
  <si>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</si>
  <si>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</si>
  <si>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</si>
  <si>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</si>
  <si>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</si>
  <si>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</si>
  <si>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</si>
  <si>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</si>
  <si>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</si>
  <si>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</si>
  <si>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</si>
  <si>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</si>
  <si>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</si>
  <si>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</si>
  <si>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</si>
  <si>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</si>
  <si>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</si>
  <si>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</si>
  <si>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</si>
  <si>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</si>
  <si>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</si>
  <si>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</si>
  <si>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</si>
  <si>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</si>
  <si>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</si>
  <si>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</si>
  <si>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</si>
  <si>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</si>
  <si>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</si>
  <si>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</si>
  <si>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</si>
  <si>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</si>
  <si>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</si>
  <si>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</si>
  <si>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</si>
  <si>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</si>
  <si>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</si>
  <si>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</si>
  <si>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</si>
  <si>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</si>
  <si>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</si>
  <si>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</si>
  <si>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</si>
  <si>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</si>
  <si>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</si>
  <si>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</si>
  <si>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</si>
  <si>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</si>
  <si>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</si>
  <si>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</si>
  <si>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</si>
  <si>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</si>
  <si>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</si>
  <si>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</si>
  <si>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</si>
  <si>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</si>
  <si>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</si>
  <si>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</si>
  <si>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</si>
  <si>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</si>
  <si>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</si>
  <si>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</si>
  <si>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</si>
  <si>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</si>
  <si>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</si>
  <si>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</si>
  <si>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</si>
  <si>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</si>
  <si>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</si>
  <si>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</si>
  <si>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</si>
  <si>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</si>
  <si>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</si>
  <si>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</si>
  <si>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</si>
  <si>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</si>
  <si>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</si>
  <si>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</si>
  <si>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</si>
  <si>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</si>
  <si>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</si>
  <si>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</si>
  <si>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</si>
  <si>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</si>
  <si>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</si>
  <si>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</si>
  <si>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</si>
  <si>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</si>
  <si>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</si>
  <si>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</si>
  <si>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</si>
  <si>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</si>
  <si>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</si>
  <si>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</si>
  <si>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</si>
  <si>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</si>
  <si>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</si>
  <si>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</si>
  <si>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</si>
  <si>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</si>
  <si>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</si>
  <si>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</si>
  <si>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</si>
  <si>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A1.47</t>
  </si>
  <si>
    <t>Waikato Stand-alone Council</t>
  </si>
  <si>
    <t>RFI Table A1; Line A1.46 + (A1.45/1000)</t>
  </si>
  <si>
    <t>G1 - Infrastructure Aspirational submission Table; Line G1.3</t>
  </si>
  <si>
    <t>RFI Table E1, E2 and E2b 2019; Lines E1.20 + E2.19 + E2b.19</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</si>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</sst>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188</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665578747.39999998</v>
      </c>
      <c r="C6" s="12">
        <f ca="1">B6+Depreciation!C18+'Cash Flow'!C13</f>
        <v>700691113.34720123</v>
      </c>
      <c r="D6" s="1">
        <f ca="1">C6+Depreciation!D18</f>
        <v>766518869.67537153</v>
      </c>
      <c r="E6" s="1">
        <f ca="1">D6+Depreciation!E18</f>
        <v>835755354.32748449</v>
      </c>
      <c r="F6" s="1">
        <f ca="1">E6+Depreciation!F18</f>
        <v>908551318.29379249</v>
      </c>
      <c r="G6" s="1">
        <f ca="1">F6+Depreciation!G18</f>
        <v>985063670.0901202</v>
      </c>
      <c r="H6" s="1">
        <f ca="1">G6+Depreciation!H18</f>
        <v>1065455715.4704874</v>
      </c>
      <c r="I6" s="1">
        <f ca="1">H6+Depreciation!I18</f>
        <v>1149897406.176033</v>
      </c>
      <c r="J6" s="1">
        <f ca="1">I6+Depreciation!J18</f>
        <v>1238565598.0530992</v>
      </c>
      <c r="K6" s="1">
        <f ca="1">J6+Depreciation!K18</f>
        <v>1331644318.8853807</v>
      </c>
      <c r="L6" s="1">
        <f ca="1">K6+Depreciation!L18</f>
        <v>1429325046.2975292</v>
      </c>
      <c r="M6" s="1">
        <f ca="1">L6+Depreciation!M18</f>
        <v>1531806996.1005239</v>
      </c>
      <c r="N6" s="1">
        <f ca="1">M6+Depreciation!N18</f>
        <v>1639297421.4625092</v>
      </c>
      <c r="O6" s="1">
        <f ca="1">N6+Depreciation!O18</f>
        <v>1752011923.3026617</v>
      </c>
      <c r="P6" s="1">
        <f ca="1">O6+Depreciation!P18</f>
        <v>1870174772.3200138</v>
      </c>
      <c r="Q6" s="1">
        <f ca="1">P6+Depreciation!Q18</f>
        <v>1994019243.0840218</v>
      </c>
      <c r="R6" s="1">
        <f ca="1">Q6+Depreciation!R18</f>
        <v>2123787960.6290779</v>
      </c>
      <c r="S6" s="1">
        <f ca="1">R6+Depreciation!S18</f>
        <v>2259733260.011107</v>
      </c>
      <c r="T6" s="1">
        <f ca="1">S6+Depreciation!T18</f>
        <v>2402117559.300909</v>
      </c>
      <c r="U6" s="1">
        <f ca="1">T6+Depreciation!U18</f>
        <v>2551213746.5060143</v>
      </c>
      <c r="V6" s="1">
        <f ca="1">U6+Depreciation!V18</f>
        <v>2707305580.9305296</v>
      </c>
      <c r="W6" s="1">
        <f ca="1">V6+Depreciation!W18</f>
        <v>2870688109.5007992</v>
      </c>
      <c r="X6" s="1">
        <f ca="1">W6+Depreciation!X18</f>
        <v>3041668098.6037006</v>
      </c>
      <c r="Y6" s="1">
        <f ca="1">X6+Depreciation!Y18</f>
        <v>3220564482.004066</v>
      </c>
      <c r="Z6" s="1">
        <f ca="1">Y6+Depreciation!Z18</f>
        <v>3407708825.428092</v>
      </c>
      <c r="AA6" s="1">
        <f ca="1">Z6+Depreciation!AA18</f>
        <v>3603445808.420691</v>
      </c>
      <c r="AB6" s="1">
        <f ca="1">AA6+Depreciation!AB18</f>
        <v>3808133724.1065855</v>
      </c>
      <c r="AC6" s="1">
        <f ca="1">AB6+Depreciation!AC18</f>
        <v>4022144997.5075617</v>
      </c>
      <c r="AD6" s="1">
        <f ca="1">AC6+Depreciation!AD18</f>
        <v>4245866723.0917225</v>
      </c>
      <c r="AE6" s="1">
        <f ca="1">AD6+Depreciation!AE18</f>
        <v>4479701222.2548294</v>
      </c>
      <c r="AF6" s="1"/>
      <c r="AG6" s="1"/>
      <c r="AH6" s="1"/>
      <c r="AI6" s="1"/>
      <c r="AJ6" s="1"/>
      <c r="AK6" s="1"/>
      <c r="AL6" s="1"/>
      <c r="AM6" s="1"/>
      <c r="AN6" s="1"/>
      <c r="AO6" s="1"/>
      <c r="AP6" s="1"/>
    </row>
    <row r="7" spans="1:42" x14ac:dyDescent="0.35">
      <c r="A7" t="s">
        <v>12</v>
      </c>
      <c r="B7" s="1">
        <f>Depreciation!C12</f>
        <v>344406012.71393555</v>
      </c>
      <c r="C7" s="1">
        <f>Depreciation!D12</f>
        <v>357656244.75910902</v>
      </c>
      <c r="D7" s="1">
        <f>Depreciation!E12</f>
        <v>372632724.35116929</v>
      </c>
      <c r="E7" s="1">
        <f>Depreciation!F12</f>
        <v>389432363.09550291</v>
      </c>
      <c r="F7" s="1">
        <f>Depreciation!G12</f>
        <v>408156507.26275307</v>
      </c>
      <c r="G7" s="1">
        <f>Depreciation!H12</f>
        <v>428911122.36991221</v>
      </c>
      <c r="H7" s="1">
        <f>Depreciation!I12</f>
        <v>451806985.03350723</v>
      </c>
      <c r="I7" s="1">
        <f>Depreciation!J12</f>
        <v>476959882.37128031</v>
      </c>
      <c r="J7" s="1">
        <f>Depreciation!K12</f>
        <v>504490819.23901141</v>
      </c>
      <c r="K7" s="1">
        <f>Depreciation!L12</f>
        <v>534526233.59974384</v>
      </c>
      <c r="L7" s="1">
        <f>Depreciation!M12</f>
        <v>567198220.33367717</v>
      </c>
      <c r="M7" s="1">
        <f>Depreciation!N12</f>
        <v>602644763.80839097</v>
      </c>
      <c r="N7" s="1">
        <f>Depreciation!O12</f>
        <v>641009979.54087949</v>
      </c>
      <c r="O7" s="1">
        <f>Depreciation!P12</f>
        <v>682444365.29512227</v>
      </c>
      <c r="P7" s="1">
        <f>Depreciation!Q12</f>
        <v>727105061.97160149</v>
      </c>
      <c r="Q7" s="1">
        <f>Depreciation!R12</f>
        <v>775156124.65832794</v>
      </c>
      <c r="R7" s="1">
        <f>Depreciation!S12</f>
        <v>826768804.22656083</v>
      </c>
      <c r="S7" s="1">
        <f>Depreciation!T12</f>
        <v>882121839.86852527</v>
      </c>
      <c r="T7" s="1">
        <f>Depreciation!U12</f>
        <v>941401762.98906219</v>
      </c>
      <c r="U7" s="1">
        <f>Depreciation!V12</f>
        <v>1004803212.8783028</v>
      </c>
      <c r="V7" s="1">
        <f>Depreciation!W12</f>
        <v>1072529264.608169</v>
      </c>
      <c r="W7" s="1">
        <f>Depreciation!X12</f>
        <v>1144791769.611774</v>
      </c>
      <c r="X7" s="1">
        <f>Depreciation!Y12</f>
        <v>1221811709.4216657</v>
      </c>
      <c r="Y7" s="1">
        <f>Depreciation!Z12</f>
        <v>1303819563.0603228</v>
      </c>
      <c r="Z7" s="1">
        <f>Depreciation!AA12</f>
        <v>1391055688.5944209</v>
      </c>
      <c r="AA7" s="1">
        <f>Depreciation!AB12</f>
        <v>1483770719.3831422</v>
      </c>
      <c r="AB7" s="1">
        <f>Depreciation!AC12</f>
        <v>1582225975.5702357</v>
      </c>
      <c r="AC7" s="1">
        <f>Depreciation!AD12</f>
        <v>1686693891.3896697</v>
      </c>
      <c r="AD7" s="1">
        <f>Depreciation!AE12</f>
        <v>1797458458.8755784</v>
      </c>
      <c r="AE7" s="1">
        <f>Depreciation!AF12</f>
        <v>1914815688.5888169</v>
      </c>
      <c r="AF7" s="1"/>
      <c r="AG7" s="1"/>
      <c r="AH7" s="1"/>
      <c r="AI7" s="1"/>
      <c r="AJ7" s="1"/>
      <c r="AK7" s="1"/>
      <c r="AL7" s="1"/>
      <c r="AM7" s="1"/>
      <c r="AN7" s="1"/>
      <c r="AO7" s="1"/>
      <c r="AP7" s="1"/>
    </row>
    <row r="8" spans="1:42" x14ac:dyDescent="0.35">
      <c r="A8" t="s">
        <v>190</v>
      </c>
      <c r="B8" s="1">
        <f t="shared" ref="B8:AE8" si="1">B6-B7</f>
        <v>321172734.68606442</v>
      </c>
      <c r="C8" s="1">
        <f t="shared" ca="1" si="1"/>
        <v>343034868.58809221</v>
      </c>
      <c r="D8" s="1">
        <f ca="1">D6-D7</f>
        <v>393886145.32420224</v>
      </c>
      <c r="E8" s="1">
        <f t="shared" ca="1" si="1"/>
        <v>446322991.23198158</v>
      </c>
      <c r="F8" s="1">
        <f t="shared" ca="1" si="1"/>
        <v>500394811.03103942</v>
      </c>
      <c r="G8" s="1">
        <f t="shared" ca="1" si="1"/>
        <v>556152547.72020793</v>
      </c>
      <c r="H8" s="1">
        <f t="shared" ca="1" si="1"/>
        <v>613648730.43698013</v>
      </c>
      <c r="I8" s="1">
        <f t="shared" ca="1" si="1"/>
        <v>672937523.80475271</v>
      </c>
      <c r="J8" s="1">
        <f t="shared" ca="1" si="1"/>
        <v>734074778.81408775</v>
      </c>
      <c r="K8" s="1">
        <f t="shared" ca="1" si="1"/>
        <v>797118085.2856369</v>
      </c>
      <c r="L8" s="1">
        <f t="shared" ca="1" si="1"/>
        <v>862126825.96385205</v>
      </c>
      <c r="M8" s="1">
        <f t="shared" ca="1" si="1"/>
        <v>929162232.29213297</v>
      </c>
      <c r="N8" s="1">
        <f t="shared" ca="1" si="1"/>
        <v>998287441.92162967</v>
      </c>
      <c r="O8" s="1">
        <f t="shared" ca="1" si="1"/>
        <v>1069567558.0075394</v>
      </c>
      <c r="P8" s="1">
        <f t="shared" ca="1" si="1"/>
        <v>1143069710.3484123</v>
      </c>
      <c r="Q8" s="1">
        <f t="shared" ca="1" si="1"/>
        <v>1218863118.425694</v>
      </c>
      <c r="R8" s="1">
        <f t="shared" ca="1" si="1"/>
        <v>1297019156.4025171</v>
      </c>
      <c r="S8" s="1">
        <f t="shared" ca="1" si="1"/>
        <v>1377611420.1425817</v>
      </c>
      <c r="T8" s="1">
        <f t="shared" ca="1" si="1"/>
        <v>1460715796.3118467</v>
      </c>
      <c r="U8" s="1">
        <f t="shared" ca="1" si="1"/>
        <v>1546410533.6277115</v>
      </c>
      <c r="V8" s="1">
        <f t="shared" ca="1" si="1"/>
        <v>1634776316.3223605</v>
      </c>
      <c r="W8" s="1">
        <f t="shared" ca="1" si="1"/>
        <v>1725896339.8890252</v>
      </c>
      <c r="X8" s="1">
        <f t="shared" ca="1" si="1"/>
        <v>1819856389.182035</v>
      </c>
      <c r="Y8" s="1">
        <f t="shared" ca="1" si="1"/>
        <v>1916744918.9437432</v>
      </c>
      <c r="Z8" s="1">
        <f t="shared" ca="1" si="1"/>
        <v>2016653136.8336711</v>
      </c>
      <c r="AA8" s="1">
        <f t="shared" ca="1" si="1"/>
        <v>2119675089.0375488</v>
      </c>
      <c r="AB8" s="1">
        <f t="shared" ca="1" si="1"/>
        <v>2225907748.5363498</v>
      </c>
      <c r="AC8" s="1">
        <f t="shared" ca="1" si="1"/>
        <v>2335451106.1178923</v>
      </c>
      <c r="AD8" s="1">
        <f t="shared" ca="1" si="1"/>
        <v>2448408264.2161441</v>
      </c>
      <c r="AE8" s="1">
        <f t="shared" ca="1" si="1"/>
        <v>2564885533.6660128</v>
      </c>
      <c r="AF8" s="1"/>
      <c r="AG8" s="1"/>
      <c r="AH8" s="1"/>
      <c r="AI8" s="1"/>
      <c r="AJ8" s="1"/>
      <c r="AK8" s="1"/>
      <c r="AL8" s="1"/>
      <c r="AM8" s="1"/>
      <c r="AN8" s="1"/>
      <c r="AO8" s="1"/>
      <c r="AP8" s="1"/>
    </row>
    <row r="10" spans="1:42" x14ac:dyDescent="0.35">
      <c r="A10" t="s">
        <v>17</v>
      </c>
      <c r="B10" s="1">
        <f>B8-B11</f>
        <v>321172734.68606442</v>
      </c>
      <c r="C10" s="1">
        <f ca="1">C8-C11</f>
        <v>315583382.06884158</v>
      </c>
      <c r="D10" s="1">
        <f ca="1">D8-D11</f>
        <v>337562690.39357507</v>
      </c>
      <c r="E10" s="1">
        <f t="shared" ref="E10:AE10" ca="1" si="2">E8-E11</f>
        <v>359916837.03790021</v>
      </c>
      <c r="F10" s="1">
        <f t="shared" ca="1" si="2"/>
        <v>382952501.05628502</v>
      </c>
      <c r="G10" s="1">
        <f ca="1">G8-G11</f>
        <v>407031593.24974191</v>
      </c>
      <c r="H10" s="1">
        <f t="shared" ca="1" si="2"/>
        <v>432578149.60405099</v>
      </c>
      <c r="I10" s="1">
        <f t="shared" ca="1" si="2"/>
        <v>459176363.37667376</v>
      </c>
      <c r="J10" s="1">
        <f t="shared" ca="1" si="2"/>
        <v>487199209.95368975</v>
      </c>
      <c r="K10" s="1">
        <f t="shared" ca="1" si="2"/>
        <v>517077275.16683012</v>
      </c>
      <c r="L10" s="1">
        <f t="shared" ca="1" si="2"/>
        <v>549305253.75788045</v>
      </c>
      <c r="M10" s="1">
        <f t="shared" ca="1" si="2"/>
        <v>584449086.67461741</v>
      </c>
      <c r="N10" s="1">
        <f t="shared" ca="1" si="2"/>
        <v>623153795.97671342</v>
      </c>
      <c r="O10" s="1">
        <f t="shared" ca="1" si="2"/>
        <v>664658563.43996716</v>
      </c>
      <c r="P10" s="1">
        <f t="shared" ca="1" si="2"/>
        <v>709496973.72040951</v>
      </c>
      <c r="Q10" s="1">
        <f t="shared" ca="1" si="2"/>
        <v>756540975.51074505</v>
      </c>
      <c r="R10" s="1">
        <f t="shared" ca="1" si="2"/>
        <v>806157831.24432313</v>
      </c>
      <c r="S10" s="1">
        <f t="shared" ca="1" si="2"/>
        <v>858758789.7922672</v>
      </c>
      <c r="T10" s="1">
        <f t="shared" ca="1" si="2"/>
        <v>912710870.47400832</v>
      </c>
      <c r="U10" s="1">
        <f t="shared" ca="1" si="2"/>
        <v>968196646.48762965</v>
      </c>
      <c r="V10" s="1">
        <f t="shared" ca="1" si="2"/>
        <v>1025420934.4504378</v>
      </c>
      <c r="W10" s="1">
        <f t="shared" ca="1" si="2"/>
        <v>1084612799.7346516</v>
      </c>
      <c r="X10" s="1">
        <f t="shared" ca="1" si="2"/>
        <v>1146027713.546309</v>
      </c>
      <c r="Y10" s="1">
        <f t="shared" ca="1" si="2"/>
        <v>1208579892.3240008</v>
      </c>
      <c r="Z10" s="1">
        <f t="shared" ca="1" si="2"/>
        <v>1272390239.5165496</v>
      </c>
      <c r="AA10" s="1">
        <f t="shared" ca="1" si="2"/>
        <v>1337595007.2604918</v>
      </c>
      <c r="AB10" s="1">
        <f t="shared" ca="1" si="2"/>
        <v>1404347187.0097957</v>
      </c>
      <c r="AC10" s="1">
        <f t="shared" ca="1" si="2"/>
        <v>1472818003.1485727</v>
      </c>
      <c r="AD10" s="1">
        <f t="shared" ca="1" si="2"/>
        <v>1543198516.351418</v>
      </c>
      <c r="AE10" s="1">
        <f t="shared" ca="1" si="2"/>
        <v>1614597951.4875703</v>
      </c>
      <c r="AF10" s="1"/>
      <c r="AG10" s="1"/>
      <c r="AH10" s="1"/>
      <c r="AI10" s="1"/>
      <c r="AJ10" s="1"/>
      <c r="AK10" s="1"/>
      <c r="AL10" s="1"/>
      <c r="AM10" s="1"/>
      <c r="AN10" s="1"/>
      <c r="AO10" s="1"/>
    </row>
    <row r="11" spans="1:42" x14ac:dyDescent="0.35">
      <c r="A11" t="s">
        <v>9</v>
      </c>
      <c r="B11" s="1">
        <f>Assumptions!$C$20</f>
        <v>0</v>
      </c>
      <c r="C11" s="1">
        <f ca="1">'Debt worksheet'!D5</f>
        <v>27451486.519250661</v>
      </c>
      <c r="D11" s="1">
        <f ca="1">'Debt worksheet'!E5</f>
        <v>56323454.930627145</v>
      </c>
      <c r="E11" s="1">
        <f ca="1">'Debt worksheet'!F5</f>
        <v>86406154.194081366</v>
      </c>
      <c r="F11" s="1">
        <f ca="1">'Debt worksheet'!G5</f>
        <v>117442309.97475438</v>
      </c>
      <c r="G11" s="1">
        <f ca="1">'Debt worksheet'!H5</f>
        <v>149120954.47046599</v>
      </c>
      <c r="H11" s="1">
        <f ca="1">'Debt worksheet'!I5</f>
        <v>181070580.83292913</v>
      </c>
      <c r="I11" s="1">
        <f ca="1">'Debt worksheet'!J5</f>
        <v>213761160.42807895</v>
      </c>
      <c r="J11" s="1">
        <f ca="1">'Debt worksheet'!K5</f>
        <v>246875568.86039799</v>
      </c>
      <c r="K11" s="1">
        <f ca="1">'Debt worksheet'!L5</f>
        <v>280040810.11880678</v>
      </c>
      <c r="L11" s="1">
        <f ca="1">'Debt worksheet'!M5</f>
        <v>312821572.20597154</v>
      </c>
      <c r="M11" s="1">
        <f ca="1">'Debt worksheet'!N5</f>
        <v>344713145.61751556</v>
      </c>
      <c r="N11" s="1">
        <f ca="1">'Debt worksheet'!O5</f>
        <v>375133645.94491625</v>
      </c>
      <c r="O11" s="1">
        <f ca="1">'Debt worksheet'!P5</f>
        <v>404908994.56757224</v>
      </c>
      <c r="P11" s="1">
        <f ca="1">'Debt worksheet'!Q5</f>
        <v>433572736.62800276</v>
      </c>
      <c r="Q11" s="1">
        <f ca="1">'Debt worksheet'!R5</f>
        <v>462322142.91494894</v>
      </c>
      <c r="R11" s="1">
        <f ca="1">'Debt worksheet'!S5</f>
        <v>490861325.15819395</v>
      </c>
      <c r="S11" s="1">
        <f ca="1">'Debt worksheet'!T5</f>
        <v>518852630.3503145</v>
      </c>
      <c r="T11" s="1">
        <f ca="1">'Debt worksheet'!U5</f>
        <v>548004925.83783841</v>
      </c>
      <c r="U11" s="1">
        <f ca="1">'Debt worksheet'!V5</f>
        <v>578213887.14008188</v>
      </c>
      <c r="V11" s="1">
        <f ca="1">'Debt worksheet'!W5</f>
        <v>609355381.87192273</v>
      </c>
      <c r="W11" s="1">
        <f ca="1">'Debt worksheet'!X5</f>
        <v>641283540.15437365</v>
      </c>
      <c r="X11" s="1">
        <f ca="1">'Debt worksheet'!Y5</f>
        <v>673828675.63572586</v>
      </c>
      <c r="Y11" s="1">
        <f ca="1">'Debt worksheet'!Z5</f>
        <v>708165026.61974227</v>
      </c>
      <c r="Z11" s="1">
        <f ca="1">'Debt worksheet'!AA5</f>
        <v>744262897.31712151</v>
      </c>
      <c r="AA11" s="1">
        <f ca="1">'Debt worksheet'!AB5</f>
        <v>782080081.77705681</v>
      </c>
      <c r="AB11" s="1">
        <f ca="1">'Debt worksheet'!AC5</f>
        <v>821560561.52655411</v>
      </c>
      <c r="AC11" s="1">
        <f ca="1">'Debt worksheet'!AD5</f>
        <v>862633102.96931958</v>
      </c>
      <c r="AD11" s="1">
        <f ca="1">'Debt worksheet'!AE5</f>
        <v>905209747.86472607</v>
      </c>
      <c r="AE11" s="1">
        <f ca="1">'Debt worksheet'!AF5</f>
        <v>950287582.1784426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23495726.933265593</v>
      </c>
      <c r="D5" s="4">
        <f ca="1">'Profit and Loss'!D9</f>
        <v>23705555.871620297</v>
      </c>
      <c r="E5" s="4">
        <f ca="1">'Profit and Loss'!E9</f>
        <v>24177305.796598453</v>
      </c>
      <c r="F5" s="4">
        <f ca="1">'Profit and Loss'!F9</f>
        <v>24960169.441301346</v>
      </c>
      <c r="G5" s="4">
        <f ca="1">'Profit and Loss'!G9</f>
        <v>26109563.133365933</v>
      </c>
      <c r="H5" s="4">
        <f ca="1">'Profit and Loss'!H9</f>
        <v>27687803.910744864</v>
      </c>
      <c r="I5" s="4">
        <f ca="1">'Profit and Loss'!I9</f>
        <v>28855248.446800839</v>
      </c>
      <c r="J5" s="4">
        <f ca="1">'Profit and Loss'!J9</f>
        <v>30400886.10697405</v>
      </c>
      <c r="K5" s="4">
        <f ca="1">'Profit and Loss'!K9</f>
        <v>32382542.70614168</v>
      </c>
      <c r="L5" s="4">
        <f ca="1">'Profit and Loss'!L9</f>
        <v>34864550.964251325</v>
      </c>
      <c r="M5" s="4">
        <f ca="1">'Profit and Loss'!M9</f>
        <v>37918389.657517374</v>
      </c>
      <c r="N5" s="4">
        <f ca="1">'Profit and Loss'!N9</f>
        <v>41623381.55987069</v>
      </c>
      <c r="O5" s="4">
        <f ca="1">'Profit and Loss'!O9</f>
        <v>44573937.485008061</v>
      </c>
      <c r="P5" s="4">
        <f ca="1">'Profit and Loss'!P9</f>
        <v>48064721.20267874</v>
      </c>
      <c r="Q5" s="4">
        <f ca="1">'Profit and Loss'!Q9</f>
        <v>50434367.80058258</v>
      </c>
      <c r="R5" s="4">
        <f ca="1">'Profit and Loss'!R9</f>
        <v>53178472.615084723</v>
      </c>
      <c r="S5" s="4">
        <f ca="1">'Profit and Loss'!S9</f>
        <v>56341314.621675767</v>
      </c>
      <c r="T5" s="4">
        <f ca="1">'Profit and Loss'!T9</f>
        <v>57878968.160313748</v>
      </c>
      <c r="U5" s="4">
        <f ca="1">'Profit and Loss'!U9</f>
        <v>59607302.782325119</v>
      </c>
      <c r="V5" s="4">
        <f ca="1">'Profit and Loss'!V9</f>
        <v>61548889.803433917</v>
      </c>
      <c r="W5" s="4">
        <f ca="1">'Profit and Loss'!W9</f>
        <v>63728318.557952598</v>
      </c>
      <c r="X5" s="4">
        <f ca="1">'Profit and Loss'!X9</f>
        <v>66172348.617944233</v>
      </c>
      <c r="Y5" s="4">
        <f ca="1">'Profit and Loss'!Y9</f>
        <v>67540092.606457472</v>
      </c>
      <c r="Z5" s="4">
        <f ca="1">'Profit and Loss'!Z9</f>
        <v>69038619.087989777</v>
      </c>
      <c r="AA5" s="4">
        <f ca="1">'Profit and Loss'!AA9</f>
        <v>70683672.998565614</v>
      </c>
      <c r="AB5" s="4">
        <f ca="1">'Profit and Loss'!AB9</f>
        <v>72492405.147675663</v>
      </c>
      <c r="AC5" s="4">
        <f ca="1">'Profit and Loss'!AC9</f>
        <v>74483475.771117002</v>
      </c>
      <c r="AD5" s="4">
        <f ca="1">'Profit and Loss'!AD9</f>
        <v>76677164.869320303</v>
      </c>
      <c r="AE5" s="4">
        <f ca="1">'Profit and Loss'!AE9</f>
        <v>77992097.363481432</v>
      </c>
      <c r="AF5" s="4">
        <f ca="1">'Profit and Loss'!AF9</f>
        <v>79407930.473383516</v>
      </c>
      <c r="AG5" s="4"/>
      <c r="AH5" s="4"/>
      <c r="AI5" s="4"/>
      <c r="AJ5" s="4"/>
      <c r="AK5" s="4"/>
      <c r="AL5" s="4"/>
      <c r="AM5" s="4"/>
      <c r="AN5" s="4"/>
      <c r="AO5" s="4"/>
      <c r="AP5" s="4"/>
    </row>
    <row r="6" spans="1:42" x14ac:dyDescent="0.35">
      <c r="A6" t="s">
        <v>21</v>
      </c>
      <c r="C6" s="4">
        <f>Depreciation!C8+Depreciation!C9</f>
        <v>11616639.013935614</v>
      </c>
      <c r="D6" s="4">
        <f>Depreciation!D8+Depreciation!D9</f>
        <v>13250232.045173476</v>
      </c>
      <c r="E6" s="4">
        <f>Depreciation!E8+Depreciation!E9</f>
        <v>14976479.59206029</v>
      </c>
      <c r="F6" s="4">
        <f>Depreciation!F8+Depreciation!F9</f>
        <v>16799638.744333606</v>
      </c>
      <c r="G6" s="4">
        <f>Depreciation!G8+Depreciation!G9</f>
        <v>18724144.167250142</v>
      </c>
      <c r="H6" s="4">
        <f>Depreciation!H8+Depreciation!H9</f>
        <v>20754615.107159138</v>
      </c>
      <c r="I6" s="4">
        <f>Depreciation!I8+Depreciation!I9</f>
        <v>22895862.663595043</v>
      </c>
      <c r="J6" s="4">
        <f>Depreciation!J8+Depreciation!J9</f>
        <v>25152897.337773122</v>
      </c>
      <c r="K6" s="4">
        <f>Depreciation!K8+Depreciation!K9</f>
        <v>27530936.867731079</v>
      </c>
      <c r="L6" s="4">
        <f>Depreciation!L8+Depreciation!L9</f>
        <v>30035414.360732459</v>
      </c>
      <c r="M6" s="4">
        <f>Depreciation!M8+Depreciation!M9</f>
        <v>32671986.733933367</v>
      </c>
      <c r="N6" s="4">
        <f>Depreciation!N8+Depreciation!N9</f>
        <v>35446543.474713758</v>
      </c>
      <c r="O6" s="4">
        <f>Depreciation!O8+Depreciation!O9</f>
        <v>38365215.732488528</v>
      </c>
      <c r="P6" s="4">
        <f>Depreciation!P8+Depreciation!P9</f>
        <v>41434385.754242778</v>
      </c>
      <c r="Q6" s="4">
        <f>Depreciation!Q8+Depreciation!Q9</f>
        <v>44660696.676479235</v>
      </c>
      <c r="R6" s="4">
        <f>Depreciation!R8+Depreciation!R9</f>
        <v>48051062.686726496</v>
      </c>
      <c r="S6" s="4">
        <f>Depreciation!S8+Depreciation!S9</f>
        <v>51612679.568232857</v>
      </c>
      <c r="T6" s="4">
        <f>Depreciation!T8+Depreciation!T9</f>
        <v>55353035.641964406</v>
      </c>
      <c r="U6" s="4">
        <f>Depreciation!U8+Depreciation!U9</f>
        <v>59279923.120536909</v>
      </c>
      <c r="V6" s="4">
        <f>Depreciation!V8+Depreciation!V9</f>
        <v>63401449.88924069</v>
      </c>
      <c r="W6" s="4">
        <f>Depreciation!W8+Depreciation!W9</f>
        <v>67726051.729866102</v>
      </c>
      <c r="X6" s="4">
        <f>Depreciation!X8+Depreciation!X9</f>
        <v>72262505.003604904</v>
      </c>
      <c r="Y6" s="4">
        <f>Depreciation!Y8+Depreciation!Y9</f>
        <v>77019939.809891611</v>
      </c>
      <c r="Z6" s="4">
        <f>Depreciation!Z8+Depreciation!Z9</f>
        <v>82007853.638657004</v>
      </c>
      <c r="AA6" s="4">
        <f>Depreciation!AA8+Depreciation!AA9</f>
        <v>87236125.534098074</v>
      </c>
      <c r="AB6" s="4">
        <f>Depreciation!AB8+Depreciation!AB9</f>
        <v>92715030.788721338</v>
      </c>
      <c r="AC6" s="4">
        <f>Depreciation!AC8+Depreciation!AC9</f>
        <v>98455256.187093586</v>
      </c>
      <c r="AD6" s="4">
        <f>Depreciation!AD8+Depreciation!AD9</f>
        <v>104467915.81943403</v>
      </c>
      <c r="AE6" s="4">
        <f>Depreciation!AE8+Depreciation!AE9</f>
        <v>110764567.48590866</v>
      </c>
      <c r="AF6" s="4">
        <f>Depreciation!AF8+Depreciation!AF9</f>
        <v>117357229.71323857</v>
      </c>
      <c r="AG6" s="4"/>
      <c r="AH6" s="4"/>
      <c r="AI6" s="4"/>
      <c r="AJ6" s="4"/>
      <c r="AK6" s="4"/>
      <c r="AL6" s="4"/>
      <c r="AM6" s="4"/>
      <c r="AN6" s="4"/>
      <c r="AO6" s="4"/>
      <c r="AP6" s="4"/>
    </row>
    <row r="7" spans="1:42" x14ac:dyDescent="0.35">
      <c r="A7" t="s">
        <v>23</v>
      </c>
      <c r="C7" s="4">
        <f ca="1">C6+C5</f>
        <v>35112365.947201207</v>
      </c>
      <c r="D7" s="4">
        <f ca="1">D6+D5</f>
        <v>36955787.916793771</v>
      </c>
      <c r="E7" s="4">
        <f t="shared" ref="E7:AF7" ca="1" si="1">E6+E5</f>
        <v>39153785.388658747</v>
      </c>
      <c r="F7" s="4">
        <f t="shared" ca="1" si="1"/>
        <v>41759808.185634956</v>
      </c>
      <c r="G7" s="4">
        <f ca="1">G6+G5</f>
        <v>44833707.300616071</v>
      </c>
      <c r="H7" s="4">
        <f t="shared" ca="1" si="1"/>
        <v>48442419.017903998</v>
      </c>
      <c r="I7" s="4">
        <f t="shared" ca="1" si="1"/>
        <v>51751111.110395879</v>
      </c>
      <c r="J7" s="4">
        <f t="shared" ca="1" si="1"/>
        <v>55553783.444747172</v>
      </c>
      <c r="K7" s="4">
        <f t="shared" ca="1" si="1"/>
        <v>59913479.57387276</v>
      </c>
      <c r="L7" s="4">
        <f t="shared" ca="1" si="1"/>
        <v>64899965.324983783</v>
      </c>
      <c r="M7" s="4">
        <f t="shared" ca="1" si="1"/>
        <v>70590376.391450733</v>
      </c>
      <c r="N7" s="4">
        <f t="shared" ca="1" si="1"/>
        <v>77069925.034584448</v>
      </c>
      <c r="O7" s="4">
        <f t="shared" ca="1" si="1"/>
        <v>82939153.217496589</v>
      </c>
      <c r="P7" s="4">
        <f t="shared" ca="1" si="1"/>
        <v>89499106.956921518</v>
      </c>
      <c r="Q7" s="4">
        <f t="shared" ca="1" si="1"/>
        <v>95095064.477061808</v>
      </c>
      <c r="R7" s="4">
        <f t="shared" ca="1" si="1"/>
        <v>101229535.30181122</v>
      </c>
      <c r="S7" s="4">
        <f t="shared" ca="1" si="1"/>
        <v>107953994.18990862</v>
      </c>
      <c r="T7" s="4">
        <f t="shared" ca="1" si="1"/>
        <v>113232003.80227816</v>
      </c>
      <c r="U7" s="4">
        <f t="shared" ca="1" si="1"/>
        <v>118887225.90286203</v>
      </c>
      <c r="V7" s="4">
        <f t="shared" ca="1" si="1"/>
        <v>124950339.69267461</v>
      </c>
      <c r="W7" s="4">
        <f t="shared" ca="1" si="1"/>
        <v>131454370.2878187</v>
      </c>
      <c r="X7" s="4">
        <f t="shared" ca="1" si="1"/>
        <v>138434853.62154913</v>
      </c>
      <c r="Y7" s="4">
        <f t="shared" ca="1" si="1"/>
        <v>144560032.41634908</v>
      </c>
      <c r="Z7" s="4">
        <f t="shared" ca="1" si="1"/>
        <v>151046472.72664678</v>
      </c>
      <c r="AA7" s="4">
        <f t="shared" ca="1" si="1"/>
        <v>157919798.5326637</v>
      </c>
      <c r="AB7" s="4">
        <f t="shared" ca="1" si="1"/>
        <v>165207435.93639702</v>
      </c>
      <c r="AC7" s="4">
        <f t="shared" ca="1" si="1"/>
        <v>172938731.95821059</v>
      </c>
      <c r="AD7" s="4">
        <f t="shared" ca="1" si="1"/>
        <v>181145080.68875432</v>
      </c>
      <c r="AE7" s="4">
        <f t="shared" ca="1" si="1"/>
        <v>188756664.84939009</v>
      </c>
      <c r="AF7" s="4">
        <f t="shared" ca="1" si="1"/>
        <v>196765160.18662208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62563852.466451868</v>
      </c>
      <c r="D10" s="9">
        <f>Investment!D25</f>
        <v>65827756.328170255</v>
      </c>
      <c r="E10" s="9">
        <f>Investment!E25</f>
        <v>69236484.652112961</v>
      </c>
      <c r="F10" s="9">
        <f>Investment!F25</f>
        <v>72795963.966307968</v>
      </c>
      <c r="G10" s="9">
        <f>Investment!G25</f>
        <v>76512351.79632768</v>
      </c>
      <c r="H10" s="9">
        <f>Investment!H25</f>
        <v>80392045.38036716</v>
      </c>
      <c r="I10" s="9">
        <f>Investment!I25</f>
        <v>84441690.705545709</v>
      </c>
      <c r="J10" s="9">
        <f>Investment!J25</f>
        <v>88668191.877066225</v>
      </c>
      <c r="K10" s="9">
        <f>Investment!K25</f>
        <v>93078720.83228156</v>
      </c>
      <c r="L10" s="9">
        <f>Investment!L25</f>
        <v>97680727.412148535</v>
      </c>
      <c r="M10" s="9">
        <f>Investment!M25</f>
        <v>102481949.80299476</v>
      </c>
      <c r="N10" s="9">
        <f>Investment!N25</f>
        <v>107490425.36198512</v>
      </c>
      <c r="O10" s="9">
        <f>Investment!O25</f>
        <v>112714501.84015258</v>
      </c>
      <c r="P10" s="9">
        <f>Investment!P25</f>
        <v>118162849.01735207</v>
      </c>
      <c r="Q10" s="9">
        <f>Investment!Q25</f>
        <v>123844470.76400802</v>
      </c>
      <c r="R10" s="9">
        <f>Investment!R25</f>
        <v>129768717.54505619</v>
      </c>
      <c r="S10" s="9">
        <f>Investment!S25</f>
        <v>135945299.38202915</v>
      </c>
      <c r="T10" s="9">
        <f>Investment!T25</f>
        <v>142384299.28980213</v>
      </c>
      <c r="U10" s="9">
        <f>Investment!U25</f>
        <v>149096187.20510545</v>
      </c>
      <c r="V10" s="9">
        <f>Investment!V25</f>
        <v>156091834.42451543</v>
      </c>
      <c r="W10" s="9">
        <f>Investment!W25</f>
        <v>163382528.57026964</v>
      </c>
      <c r="X10" s="9">
        <f>Investment!X25</f>
        <v>170979989.10290134</v>
      </c>
      <c r="Y10" s="9">
        <f>Investment!Y25</f>
        <v>178896383.40036553</v>
      </c>
      <c r="Z10" s="9">
        <f>Investment!Z25</f>
        <v>187144343.42402607</v>
      </c>
      <c r="AA10" s="9">
        <f>Investment!AA25</f>
        <v>195736982.99259898</v>
      </c>
      <c r="AB10" s="9">
        <f>Investment!AB25</f>
        <v>204687915.68589428</v>
      </c>
      <c r="AC10" s="9">
        <f>Investment!AC25</f>
        <v>214011273.40097603</v>
      </c>
      <c r="AD10" s="9">
        <f>Investment!AD25</f>
        <v>223721725.58416075</v>
      </c>
      <c r="AE10" s="9">
        <f>Investment!AE25</f>
        <v>233834499.16310662</v>
      </c>
      <c r="AF10" s="9">
        <f>Investment!AF25</f>
        <v>244365399.20410687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-27451486.519250661</v>
      </c>
      <c r="D12" s="1">
        <f t="shared" ref="D12:AF12" ca="1" si="2">D7-D9-D10</f>
        <v>-28871968.411376484</v>
      </c>
      <c r="E12" s="1">
        <f ca="1">E7-E9-E10</f>
        <v>-30082699.263454214</v>
      </c>
      <c r="F12" s="1">
        <f t="shared" ca="1" si="2"/>
        <v>-31036155.780673012</v>
      </c>
      <c r="G12" s="1">
        <f ca="1">G7-G9-G10</f>
        <v>-31678644.49571161</v>
      </c>
      <c r="H12" s="1">
        <f t="shared" ca="1" si="2"/>
        <v>-31949626.362463161</v>
      </c>
      <c r="I12" s="1">
        <f t="shared" ca="1" si="2"/>
        <v>-32690579.59514983</v>
      </c>
      <c r="J12" s="1">
        <f t="shared" ca="1" si="2"/>
        <v>-33114408.432319053</v>
      </c>
      <c r="K12" s="1">
        <f t="shared" ca="1" si="2"/>
        <v>-33165241.2584088</v>
      </c>
      <c r="L12" s="1">
        <f t="shared" ca="1" si="2"/>
        <v>-32780762.087164752</v>
      </c>
      <c r="M12" s="1">
        <f t="shared" ca="1" si="2"/>
        <v>-31891573.411544025</v>
      </c>
      <c r="N12" s="1">
        <f t="shared" ca="1" si="2"/>
        <v>-30420500.327400669</v>
      </c>
      <c r="O12" s="1">
        <f t="shared" ca="1" si="2"/>
        <v>-29775348.622655988</v>
      </c>
      <c r="P12" s="1">
        <f t="shared" ca="1" si="2"/>
        <v>-28663742.060430557</v>
      </c>
      <c r="Q12" s="1">
        <f t="shared" ca="1" si="2"/>
        <v>-28749406.286946207</v>
      </c>
      <c r="R12" s="1">
        <f t="shared" ca="1" si="2"/>
        <v>-28539182.243244976</v>
      </c>
      <c r="S12" s="1">
        <f t="shared" ca="1" si="2"/>
        <v>-27991305.192120522</v>
      </c>
      <c r="T12" s="1">
        <f t="shared" ca="1" si="2"/>
        <v>-29152295.487523973</v>
      </c>
      <c r="U12" s="1">
        <f t="shared" ca="1" si="2"/>
        <v>-30208961.302243426</v>
      </c>
      <c r="V12" s="1">
        <f t="shared" ca="1" si="2"/>
        <v>-31141494.731840819</v>
      </c>
      <c r="W12" s="1">
        <f t="shared" ca="1" si="2"/>
        <v>-31928158.282450944</v>
      </c>
      <c r="X12" s="1">
        <f t="shared" ca="1" si="2"/>
        <v>-32545135.48135221</v>
      </c>
      <c r="Y12" s="1">
        <f t="shared" ca="1" si="2"/>
        <v>-34336350.984016448</v>
      </c>
      <c r="Z12" s="1">
        <f t="shared" ca="1" si="2"/>
        <v>-36097870.697379291</v>
      </c>
      <c r="AA12" s="1">
        <f t="shared" ca="1" si="2"/>
        <v>-37817184.459935278</v>
      </c>
      <c r="AB12" s="1">
        <f t="shared" ca="1" si="2"/>
        <v>-39480479.749497265</v>
      </c>
      <c r="AC12" s="1">
        <f t="shared" ca="1" si="2"/>
        <v>-41072541.442765445</v>
      </c>
      <c r="AD12" s="1">
        <f t="shared" ca="1" si="2"/>
        <v>-42576644.895406425</v>
      </c>
      <c r="AE12" s="1">
        <f t="shared" ca="1" si="2"/>
        <v>-45077834.313716531</v>
      </c>
      <c r="AF12" s="1">
        <f t="shared" ca="1" si="2"/>
        <v>-47600239.017484784</v>
      </c>
      <c r="AG12" s="1"/>
      <c r="AH12" s="1"/>
      <c r="AI12" s="1"/>
      <c r="AJ12" s="1"/>
      <c r="AK12" s="1"/>
      <c r="AL12" s="1"/>
      <c r="AM12" s="1"/>
      <c r="AN12" s="1"/>
      <c r="AO12" s="1"/>
      <c r="AP12" s="1"/>
    </row>
    <row r="13" spans="1:42" x14ac:dyDescent="0.35">
      <c r="A13" t="s">
        <v>19</v>
      </c>
      <c r="C13" s="1">
        <f ca="1">C12</f>
        <v>-27451486.519250661</v>
      </c>
      <c r="D13" s="1">
        <f ca="1">D12</f>
        <v>-28871968.411376484</v>
      </c>
      <c r="E13" s="1">
        <f ca="1">E12</f>
        <v>-30082699.263454214</v>
      </c>
      <c r="F13" s="1">
        <f t="shared" ref="F13:AF13" ca="1" si="3">F12</f>
        <v>-31036155.780673012</v>
      </c>
      <c r="G13" s="1">
        <f ca="1">G12</f>
        <v>-31678644.49571161</v>
      </c>
      <c r="H13" s="1">
        <f t="shared" ca="1" si="3"/>
        <v>-31949626.362463161</v>
      </c>
      <c r="I13" s="1">
        <f t="shared" ca="1" si="3"/>
        <v>-32690579.59514983</v>
      </c>
      <c r="J13" s="1">
        <f t="shared" ca="1" si="3"/>
        <v>-33114408.432319053</v>
      </c>
      <c r="K13" s="1">
        <f t="shared" ca="1" si="3"/>
        <v>-33165241.2584088</v>
      </c>
      <c r="L13" s="1">
        <f t="shared" ca="1" si="3"/>
        <v>-32780762.087164752</v>
      </c>
      <c r="M13" s="1">
        <f t="shared" ca="1" si="3"/>
        <v>-31891573.411544025</v>
      </c>
      <c r="N13" s="1">
        <f t="shared" ca="1" si="3"/>
        <v>-30420500.327400669</v>
      </c>
      <c r="O13" s="1">
        <f t="shared" ca="1" si="3"/>
        <v>-29775348.622655988</v>
      </c>
      <c r="P13" s="1">
        <f t="shared" ca="1" si="3"/>
        <v>-28663742.060430557</v>
      </c>
      <c r="Q13" s="1">
        <f t="shared" ca="1" si="3"/>
        <v>-28749406.286946207</v>
      </c>
      <c r="R13" s="1">
        <f t="shared" ca="1" si="3"/>
        <v>-28539182.243244976</v>
      </c>
      <c r="S13" s="1">
        <f t="shared" ca="1" si="3"/>
        <v>-27991305.192120522</v>
      </c>
      <c r="T13" s="1">
        <f t="shared" ca="1" si="3"/>
        <v>-29152295.487523973</v>
      </c>
      <c r="U13" s="1">
        <f t="shared" ca="1" si="3"/>
        <v>-30208961.302243426</v>
      </c>
      <c r="V13" s="1">
        <f t="shared" ca="1" si="3"/>
        <v>-31141494.731840819</v>
      </c>
      <c r="W13" s="1">
        <f t="shared" ca="1" si="3"/>
        <v>-31928158.282450944</v>
      </c>
      <c r="X13" s="1">
        <f t="shared" ca="1" si="3"/>
        <v>-32545135.48135221</v>
      </c>
      <c r="Y13" s="1">
        <f t="shared" ca="1" si="3"/>
        <v>-34336350.984016448</v>
      </c>
      <c r="Z13" s="1">
        <f t="shared" ca="1" si="3"/>
        <v>-36097870.697379291</v>
      </c>
      <c r="AA13" s="1">
        <f t="shared" ca="1" si="3"/>
        <v>-37817184.459935278</v>
      </c>
      <c r="AB13" s="1">
        <f t="shared" ca="1" si="3"/>
        <v>-39480479.749497265</v>
      </c>
      <c r="AC13" s="1">
        <f t="shared" ca="1" si="3"/>
        <v>-41072541.442765445</v>
      </c>
      <c r="AD13" s="1">
        <f t="shared" ca="1" si="3"/>
        <v>-42576644.895406425</v>
      </c>
      <c r="AE13" s="1">
        <f t="shared" ca="1" si="3"/>
        <v>-45077834.313716531</v>
      </c>
      <c r="AF13" s="1">
        <f t="shared" ca="1" si="3"/>
        <v>-47600239.017484784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665578747.39999998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332789373.69999999</v>
      </c>
      <c r="D7" s="9">
        <f>C12</f>
        <v>344406012.71393555</v>
      </c>
      <c r="E7" s="9">
        <f>D12</f>
        <v>357656244.75910902</v>
      </c>
      <c r="F7" s="9">
        <f t="shared" ref="F7:H7" si="1">E12</f>
        <v>372632724.35116929</v>
      </c>
      <c r="G7" s="9">
        <f t="shared" si="1"/>
        <v>389432363.09550291</v>
      </c>
      <c r="H7" s="9">
        <f t="shared" si="1"/>
        <v>408156507.26275307</v>
      </c>
      <c r="I7" s="9">
        <f t="shared" ref="I7" si="2">H12</f>
        <v>428911122.36991221</v>
      </c>
      <c r="J7" s="9">
        <f t="shared" ref="J7" si="3">I12</f>
        <v>451806985.03350723</v>
      </c>
      <c r="K7" s="9">
        <f t="shared" ref="K7" si="4">J12</f>
        <v>476959882.37128031</v>
      </c>
      <c r="L7" s="9">
        <f t="shared" ref="L7" si="5">K12</f>
        <v>504490819.23901141</v>
      </c>
      <c r="M7" s="9">
        <f t="shared" ref="M7" si="6">L12</f>
        <v>534526233.59974384</v>
      </c>
      <c r="N7" s="9">
        <f t="shared" ref="N7" si="7">M12</f>
        <v>567198220.33367717</v>
      </c>
      <c r="O7" s="9">
        <f t="shared" ref="O7" si="8">N12</f>
        <v>602644763.80839097</v>
      </c>
      <c r="P7" s="9">
        <f t="shared" ref="P7" si="9">O12</f>
        <v>641009979.54087949</v>
      </c>
      <c r="Q7" s="9">
        <f t="shared" ref="Q7" si="10">P12</f>
        <v>682444365.29512227</v>
      </c>
      <c r="R7" s="9">
        <f t="shared" ref="R7" si="11">Q12</f>
        <v>727105061.97160149</v>
      </c>
      <c r="S7" s="9">
        <f t="shared" ref="S7" si="12">R12</f>
        <v>775156124.65832794</v>
      </c>
      <c r="T7" s="9">
        <f t="shared" ref="T7" si="13">S12</f>
        <v>826768804.22656083</v>
      </c>
      <c r="U7" s="9">
        <f t="shared" ref="U7" si="14">T12</f>
        <v>882121839.86852527</v>
      </c>
      <c r="V7" s="9">
        <f t="shared" ref="V7" si="15">U12</f>
        <v>941401762.98906219</v>
      </c>
      <c r="W7" s="9">
        <f t="shared" ref="W7" si="16">V12</f>
        <v>1004803212.8783028</v>
      </c>
      <c r="X7" s="9">
        <f t="shared" ref="X7" si="17">W12</f>
        <v>1072529264.608169</v>
      </c>
      <c r="Y7" s="9">
        <f t="shared" ref="Y7" si="18">X12</f>
        <v>1144791769.611774</v>
      </c>
      <c r="Z7" s="9">
        <f t="shared" ref="Z7" si="19">Y12</f>
        <v>1221811709.4216657</v>
      </c>
      <c r="AA7" s="9">
        <f t="shared" ref="AA7" si="20">Z12</f>
        <v>1303819563.0603228</v>
      </c>
      <c r="AB7" s="9">
        <f t="shared" ref="AB7" si="21">AA12</f>
        <v>1391055688.5944209</v>
      </c>
      <c r="AC7" s="9">
        <f t="shared" ref="AC7" si="22">AB12</f>
        <v>1483770719.3831422</v>
      </c>
      <c r="AD7" s="9">
        <f t="shared" ref="AD7" si="23">AC12</f>
        <v>1582225975.5702357</v>
      </c>
      <c r="AE7" s="9">
        <f t="shared" ref="AE7" si="24">AD12</f>
        <v>1686693891.3896697</v>
      </c>
      <c r="AF7" s="9">
        <f t="shared" ref="AF7" si="25">AE12</f>
        <v>1797458458.8755784</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10393905.891075224</v>
      </c>
      <c r="D8" s="9">
        <f>Assumptions!E111*Assumptions!E11</f>
        <v>10726510.87958963</v>
      </c>
      <c r="E8" s="9">
        <f>Assumptions!F111*Assumptions!F11</f>
        <v>11069759.227736499</v>
      </c>
      <c r="F8" s="9">
        <f>Assumptions!G111*Assumptions!G11</f>
        <v>11423991.523024067</v>
      </c>
      <c r="G8" s="9">
        <f>Assumptions!H111*Assumptions!H11</f>
        <v>11789559.251760839</v>
      </c>
      <c r="H8" s="9">
        <f>Assumptions!I111*Assumptions!I11</f>
        <v>12166825.147817183</v>
      </c>
      <c r="I8" s="9">
        <f>Assumptions!J111*Assumptions!J11</f>
        <v>12556163.552547332</v>
      </c>
      <c r="J8" s="9">
        <f>Assumptions!K111*Assumptions!K11</f>
        <v>12957960.786228849</v>
      </c>
      <c r="K8" s="9">
        <f>Assumptions!L111*Assumptions!L11</f>
        <v>13372615.531388173</v>
      </c>
      <c r="L8" s="9">
        <f>Assumptions!M111*Assumptions!M11</f>
        <v>13800539.228392592</v>
      </c>
      <c r="M8" s="9">
        <f>Assumptions!N111*Assumptions!N11</f>
        <v>14242156.483701155</v>
      </c>
      <c r="N8" s="9">
        <f>Assumptions!O111*Assumptions!O11</f>
        <v>14697905.491179593</v>
      </c>
      <c r="O8" s="9">
        <f>Assumptions!P111*Assumptions!P11</f>
        <v>15168238.46689734</v>
      </c>
      <c r="P8" s="9">
        <f>Assumptions!Q111*Assumptions!Q11</f>
        <v>15653622.097838052</v>
      </c>
      <c r="Q8" s="9">
        <f>Assumptions!R111*Assumptions!R11</f>
        <v>16154538.004968867</v>
      </c>
      <c r="R8" s="9">
        <f>Assumptions!S111*Assumptions!S11</f>
        <v>16671483.221127875</v>
      </c>
      <c r="S8" s="9">
        <f>Assumptions!T111*Assumptions!T11</f>
        <v>17204970.684203967</v>
      </c>
      <c r="T8" s="9">
        <f>Assumptions!U111*Assumptions!U11</f>
        <v>17755529.746098492</v>
      </c>
      <c r="U8" s="9">
        <f>Assumptions!V111*Assumptions!V11</f>
        <v>18323706.697973642</v>
      </c>
      <c r="V8" s="9">
        <f>Assumptions!W111*Assumptions!W11</f>
        <v>18910065.312308803</v>
      </c>
      <c r="W8" s="9">
        <f>Assumptions!X111*Assumptions!X11</f>
        <v>19515187.402302686</v>
      </c>
      <c r="X8" s="9">
        <f>Assumptions!Y111*Assumptions!Y11</f>
        <v>20139673.39917637</v>
      </c>
      <c r="Y8" s="9">
        <f>Assumptions!Z111*Assumptions!Z11</f>
        <v>20784142.947950009</v>
      </c>
      <c r="Z8" s="9">
        <f>Assumptions!AA111*Assumptions!AA11</f>
        <v>21449235.522284411</v>
      </c>
      <c r="AA8" s="9">
        <f>Assumptions!AB111*Assumptions!AB11</f>
        <v>22135611.058997519</v>
      </c>
      <c r="AB8" s="9">
        <f>Assumptions!AC111*Assumptions!AC11</f>
        <v>22843950.612885434</v>
      </c>
      <c r="AC8" s="9">
        <f>Assumptions!AD111*Assumptions!AD11</f>
        <v>23574957.032497764</v>
      </c>
      <c r="AD8" s="9">
        <f>Assumptions!AE111*Assumptions!AE11</f>
        <v>24329355.657537699</v>
      </c>
      <c r="AE8" s="9">
        <f>Assumptions!AF111*Assumptions!AF11</f>
        <v>25107895.038578905</v>
      </c>
      <c r="AF8" s="9">
        <f>Assumptions!AG111*Assumptions!AG11</f>
        <v>25911347.679813422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1222733.1228603902</v>
      </c>
      <c r="D9" s="9">
        <f>Assumptions!E120*Assumptions!E11</f>
        <v>2523721.1655838452</v>
      </c>
      <c r="E9" s="9">
        <f>Assumptions!F120*Assumptions!F11</f>
        <v>3906720.3643237916</v>
      </c>
      <c r="F9" s="9">
        <f>Assumptions!G120*Assumptions!G11</f>
        <v>5375647.221309538</v>
      </c>
      <c r="G9" s="9">
        <f>Assumptions!H120*Assumptions!H11</f>
        <v>6934584.9154893039</v>
      </c>
      <c r="H9" s="9">
        <f>Assumptions!I120*Assumptions!I11</f>
        <v>8587789.9593419526</v>
      </c>
      <c r="I9" s="9">
        <f>Assumptions!J120*Assumptions!J11</f>
        <v>10339699.111047713</v>
      </c>
      <c r="J9" s="9">
        <f>Assumptions!K120*Assumptions!K11</f>
        <v>12194936.551544275</v>
      </c>
      <c r="K9" s="9">
        <f>Assumptions!L120*Assumptions!L11</f>
        <v>14158321.336342905</v>
      </c>
      <c r="L9" s="9">
        <f>Assumptions!M120*Assumptions!M11</f>
        <v>16234875.132339865</v>
      </c>
      <c r="M9" s="9">
        <f>Assumptions!N120*Assumptions!N11</f>
        <v>18429830.250232212</v>
      </c>
      <c r="N9" s="9">
        <f>Assumptions!O120*Assumptions!O11</f>
        <v>20748637.983534161</v>
      </c>
      <c r="O9" s="9">
        <f>Assumptions!P120*Assumptions!P11</f>
        <v>23196977.265591189</v>
      </c>
      <c r="P9" s="9">
        <f>Assumptions!Q120*Assumptions!Q11</f>
        <v>25780763.65640473</v>
      </c>
      <c r="Q9" s="9">
        <f>Assumptions!R120*Assumptions!R11</f>
        <v>28506158.671510369</v>
      </c>
      <c r="R9" s="9">
        <f>Assumptions!S120*Assumptions!S11</f>
        <v>31379579.465598617</v>
      </c>
      <c r="S9" s="9">
        <f>Assumptions!T120*Assumptions!T11</f>
        <v>34407708.884028889</v>
      </c>
      <c r="T9" s="9">
        <f>Assumptions!U120*Assumptions!U11</f>
        <v>37597505.895865917</v>
      </c>
      <c r="U9" s="9">
        <f>Assumptions!V120*Assumptions!V11</f>
        <v>40956216.42256327</v>
      </c>
      <c r="V9" s="9">
        <f>Assumptions!W120*Assumptions!W11</f>
        <v>44491384.576931886</v>
      </c>
      <c r="W9" s="9">
        <f>Assumptions!X120*Assumptions!X11</f>
        <v>48210864.327563412</v>
      </c>
      <c r="X9" s="9">
        <f>Assumptions!Y120*Assumptions!Y11</f>
        <v>52122831.60442853</v>
      </c>
      <c r="Y9" s="9">
        <f>Assumptions!Z120*Assumptions!Z11</f>
        <v>56235796.861941606</v>
      </c>
      <c r="Z9" s="9">
        <f>Assumptions!AA120*Assumptions!AA11</f>
        <v>60558618.116372593</v>
      </c>
      <c r="AA9" s="9">
        <f>Assumptions!AB120*Assumptions!AB11</f>
        <v>65100514.475100555</v>
      </c>
      <c r="AB9" s="9">
        <f>Assumptions!AC120*Assumptions!AC11</f>
        <v>69871080.175835907</v>
      </c>
      <c r="AC9" s="9">
        <f>Assumptions!AD120*Assumptions!AD11</f>
        <v>74880299.154595822</v>
      </c>
      <c r="AD9" s="9">
        <f>Assumptions!AE120*Assumptions!AE11</f>
        <v>80138560.161896333</v>
      </c>
      <c r="AE9" s="9">
        <f>Assumptions!AF120*Assumptions!AF11</f>
        <v>85656672.44732976</v>
      </c>
      <c r="AF9" s="9">
        <f>Assumptions!AG120*Assumptions!AG11</f>
        <v>91445882.033425137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11616639.013935614</v>
      </c>
      <c r="D10" s="9">
        <f>SUM($C$8:D9)</f>
        <v>24866871.059109092</v>
      </c>
      <c r="E10" s="9">
        <f>SUM($C$8:E9)</f>
        <v>39843350.651169389</v>
      </c>
      <c r="F10" s="9">
        <f>SUM($C$8:F9)</f>
        <v>56642989.395502992</v>
      </c>
      <c r="G10" s="9">
        <f>SUM($C$8:G9)</f>
        <v>75367133.562753141</v>
      </c>
      <c r="H10" s="9">
        <f>SUM($C$8:H9)</f>
        <v>96121748.669912279</v>
      </c>
      <c r="I10" s="9">
        <f>SUM($C$8:I9)</f>
        <v>119017611.33350733</v>
      </c>
      <c r="J10" s="9">
        <f>SUM($C$8:J9)</f>
        <v>144170508.67128044</v>
      </c>
      <c r="K10" s="9">
        <f>SUM($C$8:K9)</f>
        <v>171701445.53901154</v>
      </c>
      <c r="L10" s="9">
        <f>SUM($C$8:L9)</f>
        <v>201736859.89974397</v>
      </c>
      <c r="M10" s="9">
        <f>SUM($C$8:M9)</f>
        <v>234408846.63367739</v>
      </c>
      <c r="N10" s="9">
        <f>SUM($C$8:N9)</f>
        <v>269855390.10839117</v>
      </c>
      <c r="O10" s="9">
        <f>SUM($C$8:O9)</f>
        <v>308220605.84087968</v>
      </c>
      <c r="P10" s="9">
        <f>SUM($C$8:P9)</f>
        <v>349654991.59512246</v>
      </c>
      <c r="Q10" s="9">
        <f>SUM($C$8:Q9)</f>
        <v>394315688.27160168</v>
      </c>
      <c r="R10" s="9">
        <f>SUM($C$8:R9)</f>
        <v>442366750.95832819</v>
      </c>
      <c r="S10" s="9">
        <f>SUM($C$8:S9)</f>
        <v>493979430.52656108</v>
      </c>
      <c r="T10" s="9">
        <f>SUM($C$8:T9)</f>
        <v>549332466.16852546</v>
      </c>
      <c r="U10" s="9">
        <f>SUM($C$8:U9)</f>
        <v>608612389.28906226</v>
      </c>
      <c r="V10" s="9">
        <f>SUM($C$8:V9)</f>
        <v>672013839.17830288</v>
      </c>
      <c r="W10" s="9">
        <f>SUM($C$8:W9)</f>
        <v>739739890.90816903</v>
      </c>
      <c r="X10" s="9">
        <f>SUM($C$8:X9)</f>
        <v>812002395.91177392</v>
      </c>
      <c r="Y10" s="9">
        <f>SUM($C$8:Y9)</f>
        <v>889022335.7216655</v>
      </c>
      <c r="Z10" s="9">
        <f>SUM($C$8:Z9)</f>
        <v>971030189.36032248</v>
      </c>
      <c r="AA10" s="9">
        <f>SUM($C$8:AA9)</f>
        <v>1058266314.8944205</v>
      </c>
      <c r="AB10" s="9">
        <f>SUM($C$8:AB9)</f>
        <v>1150981345.6831417</v>
      </c>
      <c r="AC10" s="9">
        <f>SUM($C$8:AC9)</f>
        <v>1249436601.8702354</v>
      </c>
      <c r="AD10" s="9">
        <f>SUM($C$8:AD9)</f>
        <v>1353904517.6896694</v>
      </c>
      <c r="AE10" s="9">
        <f>SUM($C$8:AE9)</f>
        <v>1464669085.1755779</v>
      </c>
      <c r="AF10" s="9">
        <f>SUM($C$8:AF9)</f>
        <v>1582026314.8888166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344406012.71393555</v>
      </c>
      <c r="D12" s="9">
        <f>D7+D8+D9</f>
        <v>357656244.75910902</v>
      </c>
      <c r="E12" s="9">
        <f>E7+E8+E9</f>
        <v>372632724.35116929</v>
      </c>
      <c r="F12" s="9">
        <f t="shared" ref="F12:H12" si="26">F7+F8+F9</f>
        <v>389432363.09550291</v>
      </c>
      <c r="G12" s="9">
        <f t="shared" si="26"/>
        <v>408156507.26275307</v>
      </c>
      <c r="H12" s="9">
        <f t="shared" si="26"/>
        <v>428911122.36991221</v>
      </c>
      <c r="I12" s="9">
        <f t="shared" ref="I12:AF12" si="27">I7+I8+I9</f>
        <v>451806985.03350723</v>
      </c>
      <c r="J12" s="9">
        <f t="shared" si="27"/>
        <v>476959882.37128031</v>
      </c>
      <c r="K12" s="9">
        <f t="shared" si="27"/>
        <v>504490819.23901141</v>
      </c>
      <c r="L12" s="9">
        <f t="shared" si="27"/>
        <v>534526233.59974384</v>
      </c>
      <c r="M12" s="9">
        <f t="shared" si="27"/>
        <v>567198220.33367717</v>
      </c>
      <c r="N12" s="9">
        <f t="shared" si="27"/>
        <v>602644763.80839097</v>
      </c>
      <c r="O12" s="9">
        <f t="shared" si="27"/>
        <v>641009979.54087949</v>
      </c>
      <c r="P12" s="9">
        <f t="shared" si="27"/>
        <v>682444365.29512227</v>
      </c>
      <c r="Q12" s="9">
        <f t="shared" si="27"/>
        <v>727105061.97160149</v>
      </c>
      <c r="R12" s="9">
        <f t="shared" si="27"/>
        <v>775156124.65832794</v>
      </c>
      <c r="S12" s="9">
        <f t="shared" si="27"/>
        <v>826768804.22656083</v>
      </c>
      <c r="T12" s="9">
        <f t="shared" si="27"/>
        <v>882121839.86852527</v>
      </c>
      <c r="U12" s="9">
        <f t="shared" si="27"/>
        <v>941401762.98906219</v>
      </c>
      <c r="V12" s="9">
        <f t="shared" si="27"/>
        <v>1004803212.8783028</v>
      </c>
      <c r="W12" s="9">
        <f t="shared" si="27"/>
        <v>1072529264.608169</v>
      </c>
      <c r="X12" s="9">
        <f t="shared" si="27"/>
        <v>1144791769.611774</v>
      </c>
      <c r="Y12" s="9">
        <f t="shared" si="27"/>
        <v>1221811709.4216657</v>
      </c>
      <c r="Z12" s="9">
        <f t="shared" si="27"/>
        <v>1303819563.0603228</v>
      </c>
      <c r="AA12" s="9">
        <f t="shared" si="27"/>
        <v>1391055688.5944209</v>
      </c>
      <c r="AB12" s="9">
        <f t="shared" si="27"/>
        <v>1483770719.3831422</v>
      </c>
      <c r="AC12" s="9">
        <f t="shared" si="27"/>
        <v>1582225975.5702357</v>
      </c>
      <c r="AD12" s="9">
        <f t="shared" si="27"/>
        <v>1686693891.3896697</v>
      </c>
      <c r="AE12" s="9">
        <f t="shared" si="27"/>
        <v>1797458458.8755784</v>
      </c>
      <c r="AF12" s="9">
        <f t="shared" si="27"/>
        <v>1914815688.5888169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62563852.466451868</v>
      </c>
      <c r="D18" s="9">
        <f>Investment!D25</f>
        <v>65827756.328170255</v>
      </c>
      <c r="E18" s="9">
        <f>Investment!E25</f>
        <v>69236484.652112961</v>
      </c>
      <c r="F18" s="9">
        <f>Investment!F25</f>
        <v>72795963.966307968</v>
      </c>
      <c r="G18" s="9">
        <f>Investment!G25</f>
        <v>76512351.79632768</v>
      </c>
      <c r="H18" s="9">
        <f>Investment!H25</f>
        <v>80392045.38036716</v>
      </c>
      <c r="I18" s="9">
        <f>Investment!I25</f>
        <v>84441690.705545709</v>
      </c>
      <c r="J18" s="9">
        <f>Investment!J25</f>
        <v>88668191.877066225</v>
      </c>
      <c r="K18" s="9">
        <f>Investment!K25</f>
        <v>93078720.83228156</v>
      </c>
      <c r="L18" s="9">
        <f>Investment!L25</f>
        <v>97680727.412148535</v>
      </c>
      <c r="M18" s="9">
        <f>Investment!M25</f>
        <v>102481949.80299476</v>
      </c>
      <c r="N18" s="9">
        <f>Investment!N25</f>
        <v>107490425.36198512</v>
      </c>
      <c r="O18" s="9">
        <f>Investment!O25</f>
        <v>112714501.84015258</v>
      </c>
      <c r="P18" s="9">
        <f>Investment!P25</f>
        <v>118162849.01735207</v>
      </c>
      <c r="Q18" s="9">
        <f>Investment!Q25</f>
        <v>123844470.76400802</v>
      </c>
      <c r="R18" s="9">
        <f>Investment!R25</f>
        <v>129768717.54505619</v>
      </c>
      <c r="S18" s="9">
        <f>Investment!S25</f>
        <v>135945299.38202915</v>
      </c>
      <c r="T18" s="9">
        <f>Investment!T25</f>
        <v>142384299.28980213</v>
      </c>
      <c r="U18" s="9">
        <f>Investment!U25</f>
        <v>149096187.20510545</v>
      </c>
      <c r="V18" s="9">
        <f>Investment!V25</f>
        <v>156091834.42451543</v>
      </c>
      <c r="W18" s="9">
        <f>Investment!W25</f>
        <v>163382528.57026964</v>
      </c>
      <c r="X18" s="9">
        <f>Investment!X25</f>
        <v>170979989.10290134</v>
      </c>
      <c r="Y18" s="9">
        <f>Investment!Y25</f>
        <v>178896383.40036553</v>
      </c>
      <c r="Z18" s="9">
        <f>Investment!Z25</f>
        <v>187144343.42402607</v>
      </c>
      <c r="AA18" s="9">
        <f>Investment!AA25</f>
        <v>195736982.99259898</v>
      </c>
      <c r="AB18" s="9">
        <f>Investment!AB25</f>
        <v>204687915.68589428</v>
      </c>
      <c r="AC18" s="9">
        <f>Investment!AC25</f>
        <v>214011273.40097603</v>
      </c>
      <c r="AD18" s="9">
        <f>Investment!AD25</f>
        <v>223721725.58416075</v>
      </c>
      <c r="AE18" s="9">
        <f>Investment!AE25</f>
        <v>233834499.16310662</v>
      </c>
      <c r="AF18" s="9">
        <f>Investment!AF25</f>
        <v>244365399.20410687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395353226.16645187</v>
      </c>
      <c r="D19" s="9">
        <f>D18+C20</f>
        <v>449564343.48068655</v>
      </c>
      <c r="E19" s="9">
        <f>E18+D20</f>
        <v>505550596.08762604</v>
      </c>
      <c r="F19" s="9">
        <f t="shared" ref="F19:AF19" si="28">F18+E20</f>
        <v>563370080.46187377</v>
      </c>
      <c r="G19" s="9">
        <f t="shared" si="28"/>
        <v>623082793.51386786</v>
      </c>
      <c r="H19" s="9">
        <f t="shared" si="28"/>
        <v>684750694.72698486</v>
      </c>
      <c r="I19" s="9">
        <f t="shared" si="28"/>
        <v>748437770.32537138</v>
      </c>
      <c r="J19" s="9">
        <f t="shared" si="28"/>
        <v>814210099.53884256</v>
      </c>
      <c r="K19" s="9">
        <f t="shared" si="28"/>
        <v>882135923.03335094</v>
      </c>
      <c r="L19" s="9">
        <f t="shared" si="28"/>
        <v>952285713.57776833</v>
      </c>
      <c r="M19" s="9">
        <f t="shared" si="28"/>
        <v>1024732249.0200306</v>
      </c>
      <c r="N19" s="9">
        <f t="shared" si="28"/>
        <v>1099550687.6480825</v>
      </c>
      <c r="O19" s="9">
        <f t="shared" si="28"/>
        <v>1176818646.0135212</v>
      </c>
      <c r="P19" s="9">
        <f t="shared" si="28"/>
        <v>1256616279.2983849</v>
      </c>
      <c r="Q19" s="9">
        <f t="shared" si="28"/>
        <v>1339026364.3081501</v>
      </c>
      <c r="R19" s="9">
        <f t="shared" si="28"/>
        <v>1424134385.1767268</v>
      </c>
      <c r="S19" s="9">
        <f t="shared" si="28"/>
        <v>1512028621.8720293</v>
      </c>
      <c r="T19" s="9">
        <f t="shared" si="28"/>
        <v>1602800241.5935986</v>
      </c>
      <c r="U19" s="9">
        <f t="shared" si="28"/>
        <v>1696543393.1567397</v>
      </c>
      <c r="V19" s="9">
        <f t="shared" si="28"/>
        <v>1793355304.4607182</v>
      </c>
      <c r="W19" s="9">
        <f t="shared" si="28"/>
        <v>1893336383.141747</v>
      </c>
      <c r="X19" s="9">
        <f t="shared" si="28"/>
        <v>1996590320.514782</v>
      </c>
      <c r="Y19" s="9">
        <f t="shared" si="28"/>
        <v>2103224198.9115427</v>
      </c>
      <c r="Z19" s="9">
        <f t="shared" si="28"/>
        <v>2213348602.5256772</v>
      </c>
      <c r="AA19" s="9">
        <f t="shared" si="28"/>
        <v>2327077731.8796191</v>
      </c>
      <c r="AB19" s="9">
        <f t="shared" si="28"/>
        <v>2444529522.0314155</v>
      </c>
      <c r="AC19" s="9">
        <f t="shared" si="28"/>
        <v>2565825764.6436701</v>
      </c>
      <c r="AD19" s="9">
        <f t="shared" si="28"/>
        <v>2691092234.0407372</v>
      </c>
      <c r="AE19" s="9">
        <f t="shared" si="28"/>
        <v>2820458817.3844099</v>
      </c>
      <c r="AF19" s="9">
        <f t="shared" si="28"/>
        <v>2954059649.1026082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383736587.15251631</v>
      </c>
      <c r="D20" s="9">
        <f>D19-D8-D9</f>
        <v>436314111.43551308</v>
      </c>
      <c r="E20" s="9">
        <f t="shared" ref="E20:AF20" si="29">E19-E8-E9</f>
        <v>490574116.49556577</v>
      </c>
      <c r="F20" s="9">
        <f t="shared" si="29"/>
        <v>546570441.71754014</v>
      </c>
      <c r="G20" s="9">
        <f t="shared" si="29"/>
        <v>604358649.3466177</v>
      </c>
      <c r="H20" s="9">
        <f t="shared" si="29"/>
        <v>663996079.61982572</v>
      </c>
      <c r="I20" s="9">
        <f t="shared" si="29"/>
        <v>725541907.6617763</v>
      </c>
      <c r="J20" s="9">
        <f t="shared" si="29"/>
        <v>789057202.20106936</v>
      </c>
      <c r="K20" s="9">
        <f t="shared" si="29"/>
        <v>854604986.16561985</v>
      </c>
      <c r="L20" s="9">
        <f t="shared" si="29"/>
        <v>922250299.21703589</v>
      </c>
      <c r="M20" s="9">
        <f t="shared" si="29"/>
        <v>992060262.28609729</v>
      </c>
      <c r="N20" s="9">
        <f t="shared" si="29"/>
        <v>1064104144.1733686</v>
      </c>
      <c r="O20" s="9">
        <f t="shared" si="29"/>
        <v>1138453430.2810328</v>
      </c>
      <c r="P20" s="9">
        <f t="shared" si="29"/>
        <v>1215181893.544142</v>
      </c>
      <c r="Q20" s="9">
        <f t="shared" si="29"/>
        <v>1294365667.6316707</v>
      </c>
      <c r="R20" s="9">
        <f t="shared" si="29"/>
        <v>1376083322.4900002</v>
      </c>
      <c r="S20" s="9">
        <f t="shared" si="29"/>
        <v>1460415942.3037965</v>
      </c>
      <c r="T20" s="9">
        <f t="shared" si="29"/>
        <v>1547447205.9516342</v>
      </c>
      <c r="U20" s="9">
        <f t="shared" si="29"/>
        <v>1637263470.0362027</v>
      </c>
      <c r="V20" s="9">
        <f t="shared" si="29"/>
        <v>1729953854.5714774</v>
      </c>
      <c r="W20" s="9">
        <f t="shared" si="29"/>
        <v>1825610331.4118807</v>
      </c>
      <c r="X20" s="9">
        <f t="shared" si="29"/>
        <v>1924327815.5111771</v>
      </c>
      <c r="Y20" s="9">
        <f t="shared" si="29"/>
        <v>2026204259.101651</v>
      </c>
      <c r="Z20" s="9">
        <f t="shared" si="29"/>
        <v>2131340748.8870201</v>
      </c>
      <c r="AA20" s="9">
        <f t="shared" si="29"/>
        <v>2239841606.345521</v>
      </c>
      <c r="AB20" s="9">
        <f t="shared" si="29"/>
        <v>2351814491.2426939</v>
      </c>
      <c r="AC20" s="9">
        <f t="shared" si="29"/>
        <v>2467370508.4565763</v>
      </c>
      <c r="AD20" s="9">
        <f t="shared" si="29"/>
        <v>2586624318.2213035</v>
      </c>
      <c r="AE20" s="9">
        <f t="shared" si="29"/>
        <v>2709694249.8985014</v>
      </c>
      <c r="AF20" s="9">
        <f t="shared" si="29"/>
        <v>2836702419.3893695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27451486.519250661</v>
      </c>
      <c r="E22" s="9">
        <f ca="1">'Balance Sheet'!D11</f>
        <v>56323454.930627145</v>
      </c>
      <c r="F22" s="9">
        <f ca="1">'Balance Sheet'!E11</f>
        <v>86406154.194081366</v>
      </c>
      <c r="G22" s="9">
        <f ca="1">'Balance Sheet'!F11</f>
        <v>117442309.97475438</v>
      </c>
      <c r="H22" s="9">
        <f ca="1">'Balance Sheet'!G11</f>
        <v>149120954.47046599</v>
      </c>
      <c r="I22" s="9">
        <f ca="1">'Balance Sheet'!H11</f>
        <v>181070580.83292913</v>
      </c>
      <c r="J22" s="9">
        <f ca="1">'Balance Sheet'!I11</f>
        <v>213761160.42807895</v>
      </c>
      <c r="K22" s="9">
        <f ca="1">'Balance Sheet'!J11</f>
        <v>246875568.86039799</v>
      </c>
      <c r="L22" s="9">
        <f ca="1">'Balance Sheet'!K11</f>
        <v>280040810.11880678</v>
      </c>
      <c r="M22" s="9">
        <f ca="1">'Balance Sheet'!L11</f>
        <v>312821572.20597154</v>
      </c>
      <c r="N22" s="9">
        <f ca="1">'Balance Sheet'!M11</f>
        <v>344713145.61751556</v>
      </c>
      <c r="O22" s="9">
        <f ca="1">'Balance Sheet'!N11</f>
        <v>375133645.94491625</v>
      </c>
      <c r="P22" s="9">
        <f ca="1">'Balance Sheet'!O11</f>
        <v>404908994.56757224</v>
      </c>
      <c r="Q22" s="9">
        <f ca="1">'Balance Sheet'!P11</f>
        <v>433572736.62800276</v>
      </c>
      <c r="R22" s="9">
        <f ca="1">'Balance Sheet'!Q11</f>
        <v>462322142.91494894</v>
      </c>
      <c r="S22" s="9">
        <f ca="1">'Balance Sheet'!R11</f>
        <v>490861325.15819395</v>
      </c>
      <c r="T22" s="9">
        <f ca="1">'Balance Sheet'!S11</f>
        <v>518852630.3503145</v>
      </c>
      <c r="U22" s="9">
        <f ca="1">'Balance Sheet'!T11</f>
        <v>548004925.83783841</v>
      </c>
      <c r="V22" s="9">
        <f ca="1">'Balance Sheet'!U11</f>
        <v>578213887.14008188</v>
      </c>
      <c r="W22" s="9">
        <f ca="1">'Balance Sheet'!V11</f>
        <v>609355381.87192273</v>
      </c>
      <c r="X22" s="9">
        <f ca="1">'Balance Sheet'!W11</f>
        <v>641283540.15437365</v>
      </c>
      <c r="Y22" s="9">
        <f ca="1">'Balance Sheet'!X11</f>
        <v>673828675.63572586</v>
      </c>
      <c r="Z22" s="9">
        <f ca="1">'Balance Sheet'!Y11</f>
        <v>708165026.61974227</v>
      </c>
      <c r="AA22" s="9">
        <f ca="1">'Balance Sheet'!Z11</f>
        <v>744262897.31712151</v>
      </c>
      <c r="AB22" s="9">
        <f ca="1">'Balance Sheet'!AA11</f>
        <v>782080081.77705681</v>
      </c>
      <c r="AC22" s="9">
        <f ca="1">'Balance Sheet'!AB11</f>
        <v>821560561.52655411</v>
      </c>
      <c r="AD22" s="9">
        <f ca="1">'Balance Sheet'!AC11</f>
        <v>862633102.96931958</v>
      </c>
      <c r="AE22" s="9">
        <f ca="1">'Balance Sheet'!AD11</f>
        <v>905209747.86472607</v>
      </c>
      <c r="AF22" s="9">
        <f ca="1">'Balance Sheet'!AE11</f>
        <v>950287582.1784426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383736587.15251631</v>
      </c>
      <c r="D23" s="9">
        <f t="shared" ref="D23:AF23" ca="1" si="30">D20-D22</f>
        <v>408862624.91626239</v>
      </c>
      <c r="E23" s="9">
        <f t="shared" ca="1" si="30"/>
        <v>434250661.5649386</v>
      </c>
      <c r="F23" s="9">
        <f t="shared" ca="1" si="30"/>
        <v>460164287.52345878</v>
      </c>
      <c r="G23" s="9">
        <f t="shared" ca="1" si="30"/>
        <v>486916339.37186331</v>
      </c>
      <c r="H23" s="9">
        <f t="shared" ca="1" si="30"/>
        <v>514875125.1493597</v>
      </c>
      <c r="I23" s="9">
        <f t="shared" ca="1" si="30"/>
        <v>544471326.82884717</v>
      </c>
      <c r="J23" s="9">
        <f ca="1">J20-J22</f>
        <v>575296041.77299047</v>
      </c>
      <c r="K23" s="9">
        <f t="shared" ca="1" si="30"/>
        <v>607729417.3052218</v>
      </c>
      <c r="L23" s="9">
        <f t="shared" ca="1" si="30"/>
        <v>642209489.09822917</v>
      </c>
      <c r="M23" s="9">
        <f t="shared" ca="1" si="30"/>
        <v>679238690.08012581</v>
      </c>
      <c r="N23" s="9">
        <f t="shared" ca="1" si="30"/>
        <v>719390998.55585301</v>
      </c>
      <c r="O23" s="9">
        <f t="shared" ca="1" si="30"/>
        <v>763319784.33611655</v>
      </c>
      <c r="P23" s="9">
        <f t="shared" ca="1" si="30"/>
        <v>810272898.97656977</v>
      </c>
      <c r="Q23" s="9">
        <f t="shared" ca="1" si="30"/>
        <v>860792931.00366795</v>
      </c>
      <c r="R23" s="9">
        <f t="shared" ca="1" si="30"/>
        <v>913761179.57505131</v>
      </c>
      <c r="S23" s="9">
        <f t="shared" ca="1" si="30"/>
        <v>969554617.14560258</v>
      </c>
      <c r="T23" s="9">
        <f t="shared" ca="1" si="30"/>
        <v>1028594575.6013197</v>
      </c>
      <c r="U23" s="9">
        <f t="shared" ca="1" si="30"/>
        <v>1089258544.1983643</v>
      </c>
      <c r="V23" s="9">
        <f t="shared" ca="1" si="30"/>
        <v>1151739967.4313955</v>
      </c>
      <c r="W23" s="9">
        <f t="shared" ca="1" si="30"/>
        <v>1216254949.539958</v>
      </c>
      <c r="X23" s="9">
        <f t="shared" ca="1" si="30"/>
        <v>1283044275.3568034</v>
      </c>
      <c r="Y23" s="9">
        <f t="shared" ca="1" si="30"/>
        <v>1352375583.4659252</v>
      </c>
      <c r="Z23" s="9">
        <f t="shared" ca="1" si="30"/>
        <v>1423175722.2672777</v>
      </c>
      <c r="AA23" s="9">
        <f t="shared" ca="1" si="30"/>
        <v>1495578709.0283995</v>
      </c>
      <c r="AB23" s="9">
        <f t="shared" ca="1" si="30"/>
        <v>1569734409.4656372</v>
      </c>
      <c r="AC23" s="9">
        <f t="shared" ca="1" si="30"/>
        <v>1645809946.9300222</v>
      </c>
      <c r="AD23" s="9">
        <f t="shared" ca="1" si="30"/>
        <v>1723991215.2519839</v>
      </c>
      <c r="AE23" s="9">
        <f t="shared" ca="1" si="30"/>
        <v>1804484502.0337753</v>
      </c>
      <c r="AF23" s="9">
        <f t="shared" ca="1" si="30"/>
        <v>1886414837.210927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27451486.519250661</v>
      </c>
      <c r="E5" s="1">
        <f t="shared" ref="E5:AF5" ca="1" si="1">D5+D6</f>
        <v>56323454.930627145</v>
      </c>
      <c r="F5" s="1">
        <f t="shared" ca="1" si="1"/>
        <v>86406154.194081366</v>
      </c>
      <c r="G5" s="1">
        <f t="shared" ca="1" si="1"/>
        <v>117442309.97475438</v>
      </c>
      <c r="H5" s="1">
        <f t="shared" ca="1" si="1"/>
        <v>149120954.47046599</v>
      </c>
      <c r="I5" s="1">
        <f t="shared" ca="1" si="1"/>
        <v>181070580.83292913</v>
      </c>
      <c r="J5" s="1">
        <f t="shared" ca="1" si="1"/>
        <v>213761160.42807895</v>
      </c>
      <c r="K5" s="1">
        <f t="shared" ca="1" si="1"/>
        <v>246875568.86039799</v>
      </c>
      <c r="L5" s="1">
        <f t="shared" ca="1" si="1"/>
        <v>280040810.11880678</v>
      </c>
      <c r="M5" s="1">
        <f t="shared" ca="1" si="1"/>
        <v>312821572.20597154</v>
      </c>
      <c r="N5" s="1">
        <f t="shared" ca="1" si="1"/>
        <v>344713145.61751556</v>
      </c>
      <c r="O5" s="1">
        <f t="shared" ca="1" si="1"/>
        <v>375133645.94491625</v>
      </c>
      <c r="P5" s="1">
        <f t="shared" ca="1" si="1"/>
        <v>404908994.56757224</v>
      </c>
      <c r="Q5" s="1">
        <f t="shared" ca="1" si="1"/>
        <v>433572736.62800276</v>
      </c>
      <c r="R5" s="1">
        <f t="shared" ca="1" si="1"/>
        <v>462322142.91494894</v>
      </c>
      <c r="S5" s="1">
        <f t="shared" ca="1" si="1"/>
        <v>490861325.15819395</v>
      </c>
      <c r="T5" s="1">
        <f t="shared" ca="1" si="1"/>
        <v>518852630.3503145</v>
      </c>
      <c r="U5" s="1">
        <f t="shared" ca="1" si="1"/>
        <v>548004925.83783841</v>
      </c>
      <c r="V5" s="1">
        <f t="shared" ca="1" si="1"/>
        <v>578213887.14008188</v>
      </c>
      <c r="W5" s="1">
        <f t="shared" ca="1" si="1"/>
        <v>609355381.87192273</v>
      </c>
      <c r="X5" s="1">
        <f t="shared" ca="1" si="1"/>
        <v>641283540.15437365</v>
      </c>
      <c r="Y5" s="1">
        <f t="shared" ca="1" si="1"/>
        <v>673828675.63572586</v>
      </c>
      <c r="Z5" s="1">
        <f t="shared" ca="1" si="1"/>
        <v>708165026.61974227</v>
      </c>
      <c r="AA5" s="1">
        <f t="shared" ca="1" si="1"/>
        <v>744262897.31712151</v>
      </c>
      <c r="AB5" s="1">
        <f t="shared" ca="1" si="1"/>
        <v>782080081.77705681</v>
      </c>
      <c r="AC5" s="1">
        <f t="shared" ca="1" si="1"/>
        <v>821560561.52655411</v>
      </c>
      <c r="AD5" s="1">
        <f t="shared" ca="1" si="1"/>
        <v>862633102.96931958</v>
      </c>
      <c r="AE5" s="1">
        <f t="shared" ca="1" si="1"/>
        <v>905209747.86472607</v>
      </c>
      <c r="AF5" s="1">
        <f t="shared" ca="1" si="1"/>
        <v>950287582.1784426</v>
      </c>
      <c r="AG5" s="1"/>
      <c r="AH5" s="1"/>
      <c r="AI5" s="1"/>
      <c r="AJ5" s="1"/>
      <c r="AK5" s="1"/>
      <c r="AL5" s="1"/>
      <c r="AM5" s="1"/>
      <c r="AN5" s="1"/>
      <c r="AO5" s="1"/>
      <c r="AP5" s="1"/>
    </row>
    <row r="6" spans="1:42" x14ac:dyDescent="0.35">
      <c r="A6" s="63" t="s">
        <v>3</v>
      </c>
      <c r="C6" s="1">
        <f ca="1">-'Cash Flow'!C13</f>
        <v>27451486.519250661</v>
      </c>
      <c r="D6" s="1">
        <f ca="1">-'Cash Flow'!D13</f>
        <v>28871968.411376484</v>
      </c>
      <c r="E6" s="1">
        <f ca="1">-'Cash Flow'!E13</f>
        <v>30082699.263454214</v>
      </c>
      <c r="F6" s="1">
        <f ca="1">-'Cash Flow'!F13</f>
        <v>31036155.780673012</v>
      </c>
      <c r="G6" s="1">
        <f ca="1">-'Cash Flow'!G13</f>
        <v>31678644.49571161</v>
      </c>
      <c r="H6" s="1">
        <f ca="1">-'Cash Flow'!H13</f>
        <v>31949626.362463161</v>
      </c>
      <c r="I6" s="1">
        <f ca="1">-'Cash Flow'!I13</f>
        <v>32690579.59514983</v>
      </c>
      <c r="J6" s="1">
        <f ca="1">-'Cash Flow'!J13</f>
        <v>33114408.432319053</v>
      </c>
      <c r="K6" s="1">
        <f ca="1">-'Cash Flow'!K13</f>
        <v>33165241.2584088</v>
      </c>
      <c r="L6" s="1">
        <f ca="1">-'Cash Flow'!L13</f>
        <v>32780762.087164752</v>
      </c>
      <c r="M6" s="1">
        <f ca="1">-'Cash Flow'!M13</f>
        <v>31891573.411544025</v>
      </c>
      <c r="N6" s="1">
        <f ca="1">-'Cash Flow'!N13</f>
        <v>30420500.327400669</v>
      </c>
      <c r="O6" s="1">
        <f ca="1">-'Cash Flow'!O13</f>
        <v>29775348.622655988</v>
      </c>
      <c r="P6" s="1">
        <f ca="1">-'Cash Flow'!P13</f>
        <v>28663742.060430557</v>
      </c>
      <c r="Q6" s="1">
        <f ca="1">-'Cash Flow'!Q13</f>
        <v>28749406.286946207</v>
      </c>
      <c r="R6" s="1">
        <f ca="1">-'Cash Flow'!R13</f>
        <v>28539182.243244976</v>
      </c>
      <c r="S6" s="1">
        <f ca="1">-'Cash Flow'!S13</f>
        <v>27991305.192120522</v>
      </c>
      <c r="T6" s="1">
        <f ca="1">-'Cash Flow'!T13</f>
        <v>29152295.487523973</v>
      </c>
      <c r="U6" s="1">
        <f ca="1">-'Cash Flow'!U13</f>
        <v>30208961.302243426</v>
      </c>
      <c r="V6" s="1">
        <f ca="1">-'Cash Flow'!V13</f>
        <v>31141494.731840819</v>
      </c>
      <c r="W6" s="1">
        <f ca="1">-'Cash Flow'!W13</f>
        <v>31928158.282450944</v>
      </c>
      <c r="X6" s="1">
        <f ca="1">-'Cash Flow'!X13</f>
        <v>32545135.48135221</v>
      </c>
      <c r="Y6" s="1">
        <f ca="1">-'Cash Flow'!Y13</f>
        <v>34336350.984016448</v>
      </c>
      <c r="Z6" s="1">
        <f ca="1">-'Cash Flow'!Z13</f>
        <v>36097870.697379291</v>
      </c>
      <c r="AA6" s="1">
        <f ca="1">-'Cash Flow'!AA13</f>
        <v>37817184.459935278</v>
      </c>
      <c r="AB6" s="1">
        <f ca="1">-'Cash Flow'!AB13</f>
        <v>39480479.749497265</v>
      </c>
      <c r="AC6" s="1">
        <f ca="1">-'Cash Flow'!AC13</f>
        <v>41072541.442765445</v>
      </c>
      <c r="AD6" s="1">
        <f ca="1">-'Cash Flow'!AD13</f>
        <v>42576644.895406425</v>
      </c>
      <c r="AE6" s="1">
        <f ca="1">-'Cash Flow'!AE13</f>
        <v>45077834.313716531</v>
      </c>
      <c r="AF6" s="1">
        <f ca="1">-'Cash Flow'!AF13</f>
        <v>47600239.017484784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960802.0281737732</v>
      </c>
      <c r="D8" s="1">
        <f ca="1">IF(SUM(D5:D6)&gt;0,Assumptions!$C$26*SUM(D5:D6),Assumptions!$C$27*(SUM(D5:D6)))</f>
        <v>1971320.9225719504</v>
      </c>
      <c r="E8" s="1">
        <f ca="1">IF(SUM(E5:E6)&gt;0,Assumptions!$C$26*SUM(E5:E6),Assumptions!$C$27*(SUM(E5:E6)))</f>
        <v>3024215.3967928481</v>
      </c>
      <c r="F8" s="1">
        <f ca="1">IF(SUM(F5:F6)&gt;0,Assumptions!$C$26*SUM(F5:F6),Assumptions!$C$27*(SUM(F5:F6)))</f>
        <v>4110480.8491164036</v>
      </c>
      <c r="G8" s="1">
        <f ca="1">IF(SUM(G5:G6)&gt;0,Assumptions!$C$26*SUM(G5:G6),Assumptions!$C$27*(SUM(G5:G6)))</f>
        <v>5219233.4064663099</v>
      </c>
      <c r="H8" s="1">
        <f ca="1">IF(SUM(H5:H6)&gt;0,Assumptions!$C$26*SUM(H5:H6),Assumptions!$C$27*(SUM(H5:H6)))</f>
        <v>6337470.3291525207</v>
      </c>
      <c r="I8" s="1">
        <f ca="1">IF(SUM(I5:I6)&gt;0,Assumptions!$C$26*SUM(I5:I6),Assumptions!$C$27*(SUM(I5:I6)))</f>
        <v>7481640.6149827642</v>
      </c>
      <c r="J8" s="1">
        <f ca="1">IF(SUM(J5:J6)&gt;0,Assumptions!$C$26*SUM(J5:J6),Assumptions!$C$27*(SUM(J5:J6)))</f>
        <v>8640644.9101139307</v>
      </c>
      <c r="K8" s="1">
        <f ca="1">IF(SUM(K5:K6)&gt;0,Assumptions!$C$26*SUM(K5:K6),Assumptions!$C$27*(SUM(K5:K6)))</f>
        <v>9801428.3541582376</v>
      </c>
      <c r="L8" s="1">
        <f ca="1">IF(SUM(L5:L6)&gt;0,Assumptions!$C$26*SUM(L5:L6),Assumptions!$C$27*(SUM(L5:L6)))</f>
        <v>10948755.027209004</v>
      </c>
      <c r="M8" s="1">
        <f ca="1">IF(SUM(M5:M6)&gt;0,Assumptions!$C$26*SUM(M5:M6),Assumptions!$C$27*(SUM(M5:M6)))</f>
        <v>12064960.096613046</v>
      </c>
      <c r="N8" s="1">
        <f ca="1">IF(SUM(N5:N6)&gt;0,Assumptions!$C$26*SUM(N5:N6),Assumptions!$C$27*(SUM(N5:N6)))</f>
        <v>13129677.60807207</v>
      </c>
      <c r="O8" s="1">
        <f ca="1">IF(SUM(O5:O6)&gt;0,Assumptions!$C$26*SUM(O5:O6),Assumptions!$C$27*(SUM(O5:O6)))</f>
        <v>14171814.80986503</v>
      </c>
      <c r="P8" s="1">
        <f ca="1">IF(SUM(P5:P6)&gt;0,Assumptions!$C$26*SUM(P5:P6),Assumptions!$C$27*(SUM(P5:P6)))</f>
        <v>15175045.781980097</v>
      </c>
      <c r="Q8" s="1">
        <f ca="1">IF(SUM(Q5:Q6)&gt;0,Assumptions!$C$26*SUM(Q5:Q6),Assumptions!$C$27*(SUM(Q5:Q6)))</f>
        <v>16181275.002023214</v>
      </c>
      <c r="R8" s="1">
        <f ca="1">IF(SUM(R5:R6)&gt;0,Assumptions!$C$26*SUM(R5:R6),Assumptions!$C$27*(SUM(R5:R6)))</f>
        <v>17180146.380536791</v>
      </c>
      <c r="S8" s="1">
        <f ca="1">IF(SUM(S5:S6)&gt;0,Assumptions!$C$26*SUM(S5:S6),Assumptions!$C$27*(SUM(S5:S6)))</f>
        <v>18159842.062261008</v>
      </c>
      <c r="T8" s="1">
        <f ca="1">IF(SUM(T5:T6)&gt;0,Assumptions!$C$26*SUM(T5:T6),Assumptions!$C$27*(SUM(T5:T6)))</f>
        <v>19180172.404324345</v>
      </c>
      <c r="U8" s="1">
        <f ca="1">IF(SUM(U5:U6)&gt;0,Assumptions!$C$26*SUM(U5:U6),Assumptions!$C$27*(SUM(U5:U6)))</f>
        <v>20237486.049902868</v>
      </c>
      <c r="V8" s="1">
        <f ca="1">IF(SUM(V5:V6)&gt;0,Assumptions!$C$26*SUM(V5:V6),Assumptions!$C$27*(SUM(V5:V6)))</f>
        <v>21327438.365517296</v>
      </c>
      <c r="W8" s="1">
        <f ca="1">IF(SUM(W5:W6)&gt;0,Assumptions!$C$26*SUM(W5:W6),Assumptions!$C$27*(SUM(W5:W6)))</f>
        <v>22444923.905403081</v>
      </c>
      <c r="X8" s="1">
        <f ca="1">IF(SUM(X5:X6)&gt;0,Assumptions!$C$26*SUM(X5:X6),Assumptions!$C$27*(SUM(X5:X6)))</f>
        <v>23584003.647250406</v>
      </c>
      <c r="Y8" s="1">
        <f ca="1">IF(SUM(Y5:Y6)&gt;0,Assumptions!$C$26*SUM(Y5:Y6),Assumptions!$C$27*(SUM(Y5:Y6)))</f>
        <v>24785775.931690983</v>
      </c>
      <c r="Z8" s="1">
        <f ca="1">IF(SUM(Z5:Z6)&gt;0,Assumptions!$C$26*SUM(Z5:Z6),Assumptions!$C$27*(SUM(Z5:Z6)))</f>
        <v>26049201.406099256</v>
      </c>
      <c r="AA8" s="1">
        <f ca="1">IF(SUM(AA5:AA6)&gt;0,Assumptions!$C$26*SUM(AA5:AA6),Assumptions!$C$27*(SUM(AA5:AA6)))</f>
        <v>27372802.862196989</v>
      </c>
      <c r="AB8" s="1">
        <f ca="1">IF(SUM(AB5:AB6)&gt;0,Assumptions!$C$26*SUM(AB5:AB6),Assumptions!$C$27*(SUM(AB5:AB6)))</f>
        <v>28754619.653429396</v>
      </c>
      <c r="AC8" s="1">
        <f ca="1">IF(SUM(AC5:AC6)&gt;0,Assumptions!$C$26*SUM(AC5:AC6),Assumptions!$C$27*(SUM(AC5:AC6)))</f>
        <v>30192158.603926189</v>
      </c>
      <c r="AD8" s="1">
        <f ca="1">IF(SUM(AD5:AD6)&gt;0,Assumptions!$C$26*SUM(AD5:AD6),Assumptions!$C$27*(SUM(AD5:AD6)))</f>
        <v>31682341.175265417</v>
      </c>
      <c r="AE8" s="1">
        <f ca="1">IF(SUM(AE5:AE6)&gt;0,Assumptions!$C$26*SUM(AE5:AE6),Assumptions!$C$27*(SUM(AE5:AE6)))</f>
        <v>33260065.376245495</v>
      </c>
      <c r="AF8" s="1">
        <f ca="1">IF(SUM(AF5:AF6)&gt;0,Assumptions!$C$26*SUM(AF5:AF6),Assumptions!$C$27*(SUM(AF5:AF6)))</f>
        <v>34926073.741857462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4"/>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45.16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79"/>
    </row>
    <row r="6" spans="1:3" ht="18.5" x14ac:dyDescent="0.45">
      <c r="A6" s="90"/>
      <c r="B6" s="179"/>
    </row>
    <row r="7" spans="1:3" ht="18.5" x14ac:dyDescent="0.45">
      <c r="A7" s="90" t="s">
        <v>96</v>
      </c>
      <c r="B7" s="180">
        <f>Assumptions!C24</f>
        <v>49314000</v>
      </c>
      <c r="C7" s="190" t="s">
        <v>136</v>
      </c>
    </row>
    <row r="8" spans="1:3" ht="34" x14ac:dyDescent="0.45">
      <c r="A8" s="90" t="s">
        <v>174</v>
      </c>
      <c r="B8" s="181">
        <f>Assumptions!$C$133</f>
        <v>0.7</v>
      </c>
      <c r="C8" s="190" t="s">
        <v>200</v>
      </c>
    </row>
    <row r="9" spans="1:3" ht="18.5" x14ac:dyDescent="0.45">
      <c r="A9" s="90"/>
      <c r="B9" s="182"/>
      <c r="C9" s="190"/>
    </row>
    <row r="10" spans="1:3" ht="85" x14ac:dyDescent="0.45">
      <c r="A10" s="94" t="s">
        <v>102</v>
      </c>
      <c r="B10" s="183">
        <f>Assumptions!C135</f>
        <v>13817.5</v>
      </c>
      <c r="C10" s="190" t="s">
        <v>201</v>
      </c>
    </row>
    <row r="11" spans="1:3" ht="18.5" x14ac:dyDescent="0.45">
      <c r="A11" s="94"/>
      <c r="B11" s="184"/>
      <c r="C11" s="190"/>
    </row>
    <row r="12" spans="1:3" ht="18.5" x14ac:dyDescent="0.45">
      <c r="A12" s="94" t="s">
        <v>183</v>
      </c>
      <c r="B12" s="180">
        <f>(B7*B8)/B10</f>
        <v>2498.2666907906641</v>
      </c>
      <c r="C12" s="190"/>
    </row>
    <row r="13" spans="1:3" ht="18.5" x14ac:dyDescent="0.45">
      <c r="A13" s="96"/>
      <c r="B13" s="185"/>
      <c r="C13" s="190"/>
    </row>
    <row r="14" spans="1:3" ht="18.5" x14ac:dyDescent="0.45">
      <c r="A14" s="94" t="s">
        <v>103</v>
      </c>
      <c r="B14" s="103">
        <v>1</v>
      </c>
      <c r="C14" s="190"/>
    </row>
    <row r="15" spans="1:3" ht="18.5" x14ac:dyDescent="0.45">
      <c r="A15" s="96"/>
      <c r="B15" s="99"/>
      <c r="C15" s="190"/>
    </row>
    <row r="16" spans="1:3" ht="18.5" x14ac:dyDescent="0.45">
      <c r="A16" s="96" t="s">
        <v>178</v>
      </c>
      <c r="B16" s="186">
        <f>B12/B14</f>
        <v>2498.2666907906641</v>
      </c>
      <c r="C16" s="190"/>
    </row>
    <row r="17" spans="1:3" ht="18.5" x14ac:dyDescent="0.45">
      <c r="A17" s="94"/>
      <c r="B17" s="187"/>
      <c r="C17" s="190"/>
    </row>
    <row r="18" spans="1:3" ht="18.5" x14ac:dyDescent="0.45">
      <c r="A18" s="102" t="s">
        <v>177</v>
      </c>
      <c r="B18" s="187"/>
      <c r="C18" s="190"/>
    </row>
    <row r="19" spans="1:3" ht="18.5" x14ac:dyDescent="0.45">
      <c r="A19" s="94"/>
      <c r="B19" s="187"/>
      <c r="C19" s="190"/>
    </row>
    <row r="20" spans="1:3" ht="34" x14ac:dyDescent="0.45">
      <c r="A20" s="94" t="s">
        <v>65</v>
      </c>
      <c r="B20" s="180">
        <f>'Profit and Loss'!L5</f>
        <v>119224450.63190688</v>
      </c>
      <c r="C20" s="190" t="s">
        <v>202</v>
      </c>
    </row>
    <row r="21" spans="1:3" ht="34" x14ac:dyDescent="0.45">
      <c r="A21" s="94" t="str">
        <f>A8</f>
        <v>Assumed revenue from households</v>
      </c>
      <c r="B21" s="181">
        <f>B8</f>
        <v>0.7</v>
      </c>
      <c r="C21" s="190" t="s">
        <v>200</v>
      </c>
    </row>
    <row r="22" spans="1:3" ht="18.5" x14ac:dyDescent="0.45">
      <c r="A22" s="94"/>
      <c r="B22" s="184"/>
      <c r="C22" s="190"/>
    </row>
    <row r="23" spans="1:3" ht="34" x14ac:dyDescent="0.45">
      <c r="A23" s="94" t="s">
        <v>101</v>
      </c>
      <c r="B23" s="183">
        <f>Assumptions!M135</f>
        <v>17631.872844979254</v>
      </c>
      <c r="C23" s="190" t="s">
        <v>203</v>
      </c>
    </row>
    <row r="24" spans="1:3" ht="18.5" x14ac:dyDescent="0.45">
      <c r="A24" s="94"/>
      <c r="B24" s="184"/>
      <c r="C24" s="190"/>
    </row>
    <row r="25" spans="1:3" ht="18.5" x14ac:dyDescent="0.45">
      <c r="A25" s="94" t="s">
        <v>182</v>
      </c>
      <c r="B25" s="180">
        <f>(B20*B21)/B23</f>
        <v>4733.3097383412423</v>
      </c>
      <c r="C25" s="190"/>
    </row>
    <row r="26" spans="1:3" ht="18.5" x14ac:dyDescent="0.45">
      <c r="A26" s="94"/>
      <c r="B26" s="180"/>
      <c r="C26" s="190"/>
    </row>
    <row r="27" spans="1:3" ht="34" x14ac:dyDescent="0.45">
      <c r="A27" s="94" t="s">
        <v>103</v>
      </c>
      <c r="B27" s="103">
        <f>1.022^11</f>
        <v>1.2704566586717592</v>
      </c>
      <c r="C27" s="190" t="s">
        <v>204</v>
      </c>
    </row>
    <row r="28" spans="1:3" ht="18.5" x14ac:dyDescent="0.45">
      <c r="A28" s="96"/>
      <c r="B28" s="185"/>
      <c r="C28" s="190"/>
    </row>
    <row r="29" spans="1:3" ht="18.5" x14ac:dyDescent="0.45">
      <c r="A29" s="96" t="s">
        <v>179</v>
      </c>
      <c r="B29" s="180">
        <f>B25/B27</f>
        <v>3725.6758867239414</v>
      </c>
      <c r="C29" s="190"/>
    </row>
    <row r="30" spans="1:3" ht="18.5" x14ac:dyDescent="0.45">
      <c r="A30" s="96"/>
      <c r="B30" s="185"/>
      <c r="C30" s="190"/>
    </row>
    <row r="31" spans="1:3" ht="18.5" x14ac:dyDescent="0.45">
      <c r="A31" s="102" t="s">
        <v>185</v>
      </c>
      <c r="B31" s="188"/>
      <c r="C31" s="190"/>
    </row>
    <row r="32" spans="1:3" ht="18.5" x14ac:dyDescent="0.45">
      <c r="A32" s="94"/>
      <c r="B32" s="180"/>
      <c r="C32" s="190"/>
    </row>
    <row r="33" spans="1:3" ht="34" x14ac:dyDescent="0.45">
      <c r="A33" s="94" t="s">
        <v>66</v>
      </c>
      <c r="B33" s="180">
        <f>'Profit and Loss'!AF5</f>
        <v>379861018.08359081</v>
      </c>
      <c r="C33" s="190" t="s">
        <v>202</v>
      </c>
    </row>
    <row r="34" spans="1:3" ht="34" x14ac:dyDescent="0.45">
      <c r="A34" s="94" t="str">
        <f>A21</f>
        <v>Assumed revenue from households</v>
      </c>
      <c r="B34" s="181">
        <f>B21</f>
        <v>0.7</v>
      </c>
      <c r="C34" s="190" t="s">
        <v>200</v>
      </c>
    </row>
    <row r="35" spans="1:3" ht="18.5" x14ac:dyDescent="0.45">
      <c r="A35" s="94"/>
      <c r="B35" s="184"/>
      <c r="C35" s="190"/>
    </row>
    <row r="36" spans="1:3" ht="34" x14ac:dyDescent="0.45">
      <c r="A36" s="94" t="s">
        <v>100</v>
      </c>
      <c r="B36" s="183">
        <f>Assumptions!AG135</f>
        <v>28710.211318858805</v>
      </c>
      <c r="C36" s="190" t="s">
        <v>203</v>
      </c>
    </row>
    <row r="37" spans="1:3" ht="18.5" x14ac:dyDescent="0.45">
      <c r="A37" s="94"/>
      <c r="B37" s="184"/>
      <c r="C37" s="190"/>
    </row>
    <row r="38" spans="1:3" ht="18.5" x14ac:dyDescent="0.45">
      <c r="A38" s="94" t="s">
        <v>181</v>
      </c>
      <c r="B38" s="180">
        <f>(B33*B34)/B36</f>
        <v>9261.6076456341052</v>
      </c>
      <c r="C38" s="190"/>
    </row>
    <row r="39" spans="1:3" ht="18.5" x14ac:dyDescent="0.45">
      <c r="A39" s="94"/>
      <c r="B39" s="184"/>
      <c r="C39" s="190"/>
    </row>
    <row r="40" spans="1:3" ht="34" x14ac:dyDescent="0.45">
      <c r="A40" s="94" t="s">
        <v>103</v>
      </c>
      <c r="B40" s="103">
        <f>1.022^31</f>
        <v>1.9632597808456462</v>
      </c>
      <c r="C40" s="190" t="s">
        <v>204</v>
      </c>
    </row>
    <row r="41" spans="1:3" ht="18.5" x14ac:dyDescent="0.45">
      <c r="A41" s="96"/>
      <c r="B41" s="185"/>
    </row>
    <row r="42" spans="1:3" ht="18.5" x14ac:dyDescent="0.45">
      <c r="A42" s="96" t="s">
        <v>180</v>
      </c>
      <c r="B42" s="180">
        <f>B38/B40</f>
        <v>4717.4641562945881</v>
      </c>
    </row>
    <row r="43" spans="1:3" x14ac:dyDescent="0.35">
      <c r="B43" s="189"/>
    </row>
    <row r="44" spans="1:3" x14ac:dyDescent="0.35">
      <c r="B44" s="1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194</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2.4676785518339406E-2</v>
      </c>
      <c r="D13" s="128">
        <f t="shared" ref="D13:AG13" si="3">(1+$C$13)^D8</f>
        <v>1.0246767855183394</v>
      </c>
      <c r="E13" s="128">
        <f t="shared" si="3"/>
        <v>1.049962514780197</v>
      </c>
      <c r="F13" s="128">
        <f t="shared" si="3"/>
        <v>1.0758722145597241</v>
      </c>
      <c r="G13" s="128">
        <f t="shared" si="3"/>
        <v>1.1024212824435553</v>
      </c>
      <c r="H13" s="128">
        <f t="shared" si="3"/>
        <v>1.1296254959812675</v>
      </c>
      <c r="I13" s="128">
        <f t="shared" si="3"/>
        <v>1.1575010220616451</v>
      </c>
      <c r="J13" s="128">
        <f t="shared" si="3"/>
        <v>1.1860644265203191</v>
      </c>
      <c r="K13" s="128">
        <f t="shared" si="3"/>
        <v>1.2153326839844931</v>
      </c>
      <c r="L13" s="128">
        <f t="shared" si="3"/>
        <v>1.2453231879606061</v>
      </c>
      <c r="M13" s="128">
        <f t="shared" si="3"/>
        <v>1.2760537611709248</v>
      </c>
      <c r="N13" s="128">
        <f t="shared" si="3"/>
        <v>1.3075426661452101</v>
      </c>
      <c r="O13" s="128">
        <f t="shared" si="3"/>
        <v>1.339808616073753</v>
      </c>
      <c r="P13" s="128">
        <f t="shared" si="3"/>
        <v>1.3728707859282281</v>
      </c>
      <c r="Q13" s="128">
        <f t="shared" si="3"/>
        <v>1.4067488238569732</v>
      </c>
      <c r="R13" s="128">
        <f t="shared" si="3"/>
        <v>1.4414628628614681</v>
      </c>
      <c r="S13" s="128">
        <f t="shared" si="3"/>
        <v>1.4770335327609518</v>
      </c>
      <c r="T13" s="128">
        <f t="shared" si="3"/>
        <v>1.513481972452289</v>
      </c>
      <c r="U13" s="128">
        <f t="shared" si="3"/>
        <v>1.5508298424723674</v>
      </c>
      <c r="V13" s="128">
        <f t="shared" si="3"/>
        <v>1.5890993378704981</v>
      </c>
      <c r="W13" s="128">
        <f t="shared" si="3"/>
        <v>1.6283132013984636</v>
      </c>
      <c r="X13" s="128">
        <f t="shared" si="3"/>
        <v>1.6684947370260539</v>
      </c>
      <c r="Y13" s="128">
        <f t="shared" si="3"/>
        <v>1.7096678237901242</v>
      </c>
      <c r="Z13" s="128">
        <f t="shared" si="3"/>
        <v>1.7518569299853992</v>
      </c>
      <c r="AA13" s="128">
        <f t="shared" si="3"/>
        <v>1.7950871277054654</v>
      </c>
      <c r="AB13" s="128">
        <f t="shared" si="3"/>
        <v>1.839384107742585</v>
      </c>
      <c r="AC13" s="128">
        <f t="shared" si="3"/>
        <v>1.884774194855191</v>
      </c>
      <c r="AD13" s="128">
        <f t="shared" si="3"/>
        <v>1.9312843634121335</v>
      </c>
      <c r="AE13" s="128">
        <f t="shared" si="3"/>
        <v>1.9789422534229772</v>
      </c>
      <c r="AF13" s="128">
        <f t="shared" si="3"/>
        <v>2.0277761869638753</v>
      </c>
      <c r="AG13" s="128">
        <f t="shared" si="3"/>
        <v>2.0778151850087792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665578747.39999998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332789373.69999999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49314000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199</v>
      </c>
      <c r="C25" s="136">
        <v>15738150.289999999</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475413390.99999988</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855744103.80000007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1404154.3257271063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3574583.3252123338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2489368.8254697202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3827332.7527755545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9166729.0678757951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6497030.9103256743</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10071614.235538008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70" t="s">
        <v>198</v>
      </c>
      <c r="C77" s="87">
        <v>275635272</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1155335653.8140101</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1255441095.9369352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1430970925.8140101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1531076367.9369352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195</v>
      </c>
      <c r="C85" s="150">
        <v>42303.600000000006</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32310.9</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37307.25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38356.376463395456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41039.646930206196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1430970925.8140101</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1531076367.9369352</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1481023646.8754725</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1481023646.8754725</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49367454.895849086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10071614.235538008</v>
      </c>
      <c r="E111" s="149">
        <f t="shared" si="9"/>
        <v>10071614.235538008</v>
      </c>
      <c r="F111" s="149">
        <f t="shared" si="9"/>
        <v>10071614.235538008</v>
      </c>
      <c r="G111" s="149">
        <f t="shared" si="9"/>
        <v>10071614.235538008</v>
      </c>
      <c r="H111" s="149">
        <f t="shared" si="9"/>
        <v>10071614.235538008</v>
      </c>
      <c r="I111" s="149">
        <f t="shared" si="9"/>
        <v>10071614.235538008</v>
      </c>
      <c r="J111" s="149">
        <f t="shared" si="9"/>
        <v>10071614.235538008</v>
      </c>
      <c r="K111" s="149">
        <f t="shared" si="9"/>
        <v>10071614.235538008</v>
      </c>
      <c r="L111" s="149">
        <f t="shared" si="9"/>
        <v>10071614.235538008</v>
      </c>
      <c r="M111" s="149">
        <f t="shared" si="9"/>
        <v>10071614.235538008</v>
      </c>
      <c r="N111" s="149">
        <f t="shared" si="9"/>
        <v>10071614.235538008</v>
      </c>
      <c r="O111" s="149">
        <f t="shared" si="9"/>
        <v>10071614.235538008</v>
      </c>
      <c r="P111" s="149">
        <f t="shared" si="9"/>
        <v>10071614.235538008</v>
      </c>
      <c r="Q111" s="149">
        <f t="shared" si="9"/>
        <v>10071614.235538008</v>
      </c>
      <c r="R111" s="149">
        <f t="shared" si="9"/>
        <v>10071614.235538008</v>
      </c>
      <c r="S111" s="149">
        <f t="shared" si="9"/>
        <v>10071614.235538008</v>
      </c>
      <c r="T111" s="149">
        <f t="shared" si="9"/>
        <v>10071614.235538008</v>
      </c>
      <c r="U111" s="149">
        <f t="shared" si="9"/>
        <v>10071614.235538008</v>
      </c>
      <c r="V111" s="149">
        <f t="shared" si="9"/>
        <v>10071614.235538008</v>
      </c>
      <c r="W111" s="149">
        <f t="shared" si="9"/>
        <v>10071614.235538008</v>
      </c>
      <c r="X111" s="149">
        <f t="shared" si="9"/>
        <v>10071614.235538008</v>
      </c>
      <c r="Y111" s="149">
        <f t="shared" si="9"/>
        <v>10071614.235538008</v>
      </c>
      <c r="Z111" s="149">
        <f t="shared" si="9"/>
        <v>10071614.235538008</v>
      </c>
      <c r="AA111" s="149">
        <f t="shared" si="9"/>
        <v>10071614.235538008</v>
      </c>
      <c r="AB111" s="149">
        <f t="shared" si="9"/>
        <v>10071614.235538008</v>
      </c>
      <c r="AC111" s="149">
        <f t="shared" si="9"/>
        <v>10071614.235538008</v>
      </c>
      <c r="AD111" s="149">
        <f t="shared" si="9"/>
        <v>10071614.235538008</v>
      </c>
      <c r="AE111" s="149">
        <f t="shared" si="9"/>
        <v>10071614.235538008</v>
      </c>
      <c r="AF111" s="149">
        <f t="shared" si="9"/>
        <v>10071614.235538008</v>
      </c>
      <c r="AG111" s="149">
        <f t="shared" si="9"/>
        <v>10071614.235538008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1481023646.8754721</v>
      </c>
      <c r="D113" s="149">
        <f t="shared" ref="D113:AG113" si="10">$C$102</f>
        <v>49367454.895849086</v>
      </c>
      <c r="E113" s="149">
        <f t="shared" si="10"/>
        <v>49367454.895849086</v>
      </c>
      <c r="F113" s="149">
        <f t="shared" si="10"/>
        <v>49367454.895849086</v>
      </c>
      <c r="G113" s="149">
        <f t="shared" si="10"/>
        <v>49367454.895849086</v>
      </c>
      <c r="H113" s="149">
        <f t="shared" si="10"/>
        <v>49367454.895849086</v>
      </c>
      <c r="I113" s="149">
        <f t="shared" si="10"/>
        <v>49367454.895849086</v>
      </c>
      <c r="J113" s="149">
        <f t="shared" si="10"/>
        <v>49367454.895849086</v>
      </c>
      <c r="K113" s="149">
        <f t="shared" si="10"/>
        <v>49367454.895849086</v>
      </c>
      <c r="L113" s="149">
        <f t="shared" si="10"/>
        <v>49367454.895849086</v>
      </c>
      <c r="M113" s="149">
        <f t="shared" si="10"/>
        <v>49367454.895849086</v>
      </c>
      <c r="N113" s="149">
        <f t="shared" si="10"/>
        <v>49367454.895849086</v>
      </c>
      <c r="O113" s="149">
        <f t="shared" si="10"/>
        <v>49367454.895849086</v>
      </c>
      <c r="P113" s="149">
        <f t="shared" si="10"/>
        <v>49367454.895849086</v>
      </c>
      <c r="Q113" s="149">
        <f t="shared" si="10"/>
        <v>49367454.895849086</v>
      </c>
      <c r="R113" s="149">
        <f t="shared" si="10"/>
        <v>49367454.895849086</v>
      </c>
      <c r="S113" s="149">
        <f t="shared" si="10"/>
        <v>49367454.895849086</v>
      </c>
      <c r="T113" s="149">
        <f t="shared" si="10"/>
        <v>49367454.895849086</v>
      </c>
      <c r="U113" s="149">
        <f t="shared" si="10"/>
        <v>49367454.895849086</v>
      </c>
      <c r="V113" s="149">
        <f t="shared" si="10"/>
        <v>49367454.895849086</v>
      </c>
      <c r="W113" s="149">
        <f t="shared" si="10"/>
        <v>49367454.895849086</v>
      </c>
      <c r="X113" s="149">
        <f t="shared" si="10"/>
        <v>49367454.895849086</v>
      </c>
      <c r="Y113" s="149">
        <f t="shared" si="10"/>
        <v>49367454.895849086</v>
      </c>
      <c r="Z113" s="149">
        <f t="shared" si="10"/>
        <v>49367454.895849086</v>
      </c>
      <c r="AA113" s="149">
        <f t="shared" si="10"/>
        <v>49367454.895849086</v>
      </c>
      <c r="AB113" s="149">
        <f t="shared" si="10"/>
        <v>49367454.895849086</v>
      </c>
      <c r="AC113" s="149">
        <f t="shared" si="10"/>
        <v>49367454.895849086</v>
      </c>
      <c r="AD113" s="149">
        <f t="shared" si="10"/>
        <v>49367454.895849086</v>
      </c>
      <c r="AE113" s="149">
        <f t="shared" si="10"/>
        <v>49367454.895849086</v>
      </c>
      <c r="AF113" s="149">
        <f t="shared" si="10"/>
        <v>49367454.895849086</v>
      </c>
      <c r="AG113" s="149">
        <f t="shared" si="10"/>
        <v>49367454.895849086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49367454.895849086</v>
      </c>
      <c r="E118" s="149">
        <f t="shared" ref="E118:AG118" si="13">E113+E115+E116</f>
        <v>49367454.895849086</v>
      </c>
      <c r="F118" s="149">
        <f>F113+F115+F116</f>
        <v>49367454.895849086</v>
      </c>
      <c r="G118" s="149">
        <f t="shared" si="13"/>
        <v>49367454.895849086</v>
      </c>
      <c r="H118" s="149">
        <f t="shared" si="13"/>
        <v>49367454.895849086</v>
      </c>
      <c r="I118" s="149">
        <f t="shared" si="13"/>
        <v>49367454.895849086</v>
      </c>
      <c r="J118" s="149">
        <f t="shared" si="13"/>
        <v>49367454.895849086</v>
      </c>
      <c r="K118" s="149">
        <f t="shared" si="13"/>
        <v>49367454.895849086</v>
      </c>
      <c r="L118" s="149">
        <f t="shared" si="13"/>
        <v>49367454.895849086</v>
      </c>
      <c r="M118" s="149">
        <f t="shared" si="13"/>
        <v>49367454.895849086</v>
      </c>
      <c r="N118" s="149">
        <f t="shared" si="13"/>
        <v>49367454.895849086</v>
      </c>
      <c r="O118" s="149">
        <f t="shared" si="13"/>
        <v>49367454.895849086</v>
      </c>
      <c r="P118" s="149">
        <f t="shared" si="13"/>
        <v>49367454.895849086</v>
      </c>
      <c r="Q118" s="149">
        <f t="shared" si="13"/>
        <v>49367454.895849086</v>
      </c>
      <c r="R118" s="149">
        <f t="shared" si="13"/>
        <v>49367454.895849086</v>
      </c>
      <c r="S118" s="149">
        <f t="shared" si="13"/>
        <v>49367454.895849086</v>
      </c>
      <c r="T118" s="149">
        <f t="shared" si="13"/>
        <v>49367454.895849086</v>
      </c>
      <c r="U118" s="149">
        <f t="shared" si="13"/>
        <v>49367454.895849086</v>
      </c>
      <c r="V118" s="149">
        <f t="shared" si="13"/>
        <v>49367454.895849086</v>
      </c>
      <c r="W118" s="149">
        <f t="shared" si="13"/>
        <v>49367454.895849086</v>
      </c>
      <c r="X118" s="149">
        <f t="shared" si="13"/>
        <v>49367454.895849086</v>
      </c>
      <c r="Y118" s="149">
        <f t="shared" si="13"/>
        <v>49367454.895849086</v>
      </c>
      <c r="Z118" s="149">
        <f t="shared" si="13"/>
        <v>49367454.895849086</v>
      </c>
      <c r="AA118" s="149">
        <f t="shared" si="13"/>
        <v>49367454.895849086</v>
      </c>
      <c r="AB118" s="149">
        <f t="shared" si="13"/>
        <v>49367454.895849086</v>
      </c>
      <c r="AC118" s="149">
        <f t="shared" si="13"/>
        <v>49367454.895849086</v>
      </c>
      <c r="AD118" s="149">
        <f t="shared" si="13"/>
        <v>49367454.895849086</v>
      </c>
      <c r="AE118" s="149">
        <f t="shared" si="13"/>
        <v>49367454.895849086</v>
      </c>
      <c r="AF118" s="149">
        <f t="shared" si="13"/>
        <v>49367454.895849086</v>
      </c>
      <c r="AG118" s="149">
        <f t="shared" si="13"/>
        <v>49367454.895849086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1184818.9175003781</v>
      </c>
      <c r="E120" s="149">
        <f>(SUM($D$118:E118)*$C$104/$C$106)+(SUM($D$118:E118)*$C$105/$C$107)</f>
        <v>2369637.8350007562</v>
      </c>
      <c r="F120" s="149">
        <f>(SUM($D$118:F118)*$C$104/$C$106)+(SUM($D$118:F118)*$C$105/$C$107)</f>
        <v>3554456.7525011338</v>
      </c>
      <c r="G120" s="149">
        <f>(SUM($D$118:G118)*$C$104/$C$106)+(SUM($D$118:G118)*$C$105/$C$107)</f>
        <v>4739275.6700015124</v>
      </c>
      <c r="H120" s="149">
        <f>(SUM($D$118:H118)*$C$104/$C$106)+(SUM($D$118:H118)*$C$105/$C$107)</f>
        <v>5924094.5875018891</v>
      </c>
      <c r="I120" s="149">
        <f>(SUM($D$118:I118)*$C$104/$C$106)+(SUM($D$118:I118)*$C$105/$C$107)</f>
        <v>7108913.5050022677</v>
      </c>
      <c r="J120" s="149">
        <f>(SUM($D$118:J118)*$C$104/$C$106)+(SUM($D$118:J118)*$C$105/$C$107)</f>
        <v>8293732.4225026481</v>
      </c>
      <c r="K120" s="149">
        <f>(SUM($D$118:K118)*$C$104/$C$106)+(SUM($D$118:K118)*$C$105/$C$107)</f>
        <v>9478551.3400030248</v>
      </c>
      <c r="L120" s="149">
        <f>(SUM($D$118:L118)*$C$104/$C$106)+(SUM($D$118:L118)*$C$105/$C$107)</f>
        <v>10663370.257503403</v>
      </c>
      <c r="M120" s="149">
        <f>(SUM($D$118:M118)*$C$104/$C$106)+(SUM($D$118:M118)*$C$105/$C$107)</f>
        <v>11848189.175003784</v>
      </c>
      <c r="N120" s="149">
        <f>(SUM($D$118:N118)*$C$104/$C$106)+(SUM($D$118:N118)*$C$105/$C$107)</f>
        <v>13033008.09250416</v>
      </c>
      <c r="O120" s="149">
        <f>(SUM($D$118:O118)*$C$104/$C$106)+(SUM($D$118:O118)*$C$105/$C$107)</f>
        <v>14217827.010004541</v>
      </c>
      <c r="P120" s="149">
        <f>(SUM($D$118:P118)*$C$104/$C$106)+(SUM($D$118:P118)*$C$105/$C$107)</f>
        <v>15402645.927504918</v>
      </c>
      <c r="Q120" s="149">
        <f>(SUM($D$118:Q118)*$C$104/$C$106)+(SUM($D$118:Q118)*$C$105/$C$107)</f>
        <v>16587464.845005298</v>
      </c>
      <c r="R120" s="149">
        <f>(SUM($D$118:R118)*$C$104/$C$106)+(SUM($D$118:R118)*$C$105/$C$107)</f>
        <v>17772283.762505677</v>
      </c>
      <c r="S120" s="149">
        <f>(SUM($D$118:S118)*$C$104/$C$106)+(SUM($D$118:S118)*$C$105/$C$107)</f>
        <v>18957102.680006053</v>
      </c>
      <c r="T120" s="149">
        <f>(SUM($D$118:T118)*$C$104/$C$106)+(SUM($D$118:T118)*$C$105/$C$107)</f>
        <v>20141921.597506434</v>
      </c>
      <c r="U120" s="149">
        <f>(SUM($D$118:U118)*$C$104/$C$106)+(SUM($D$118:U118)*$C$105/$C$107)</f>
        <v>21326740.51500681</v>
      </c>
      <c r="V120" s="149">
        <f>(SUM($D$118:V118)*$C$104/$C$106)+(SUM($D$118:V118)*$C$105/$C$107)</f>
        <v>22511559.432507191</v>
      </c>
      <c r="W120" s="149">
        <f>(SUM($D$118:W118)*$C$104/$C$106)+(SUM($D$118:W118)*$C$105/$C$107)</f>
        <v>23696378.350007568</v>
      </c>
      <c r="X120" s="149">
        <f>(SUM($D$118:X118)*$C$104/$C$106)+(SUM($D$118:X118)*$C$105/$C$107)</f>
        <v>24881197.267507952</v>
      </c>
      <c r="Y120" s="149">
        <f>(SUM($D$118:Y118)*$C$104/$C$106)+(SUM($D$118:Y118)*$C$105/$C$107)</f>
        <v>26066016.185008321</v>
      </c>
      <c r="Z120" s="149">
        <f>(SUM($D$118:Z118)*$C$104/$C$106)+(SUM($D$118:Z118)*$C$105/$C$107)</f>
        <v>27250835.102508698</v>
      </c>
      <c r="AA120" s="149">
        <f>(SUM($D$118:AA118)*$C$104/$C$106)+(SUM($D$118:AA118)*$C$105/$C$107)</f>
        <v>28435654.020009071</v>
      </c>
      <c r="AB120" s="149">
        <f>(SUM($D$118:AB118)*$C$104/$C$106)+(SUM($D$118:AB118)*$C$105/$C$107)</f>
        <v>29620472.937509451</v>
      </c>
      <c r="AC120" s="149">
        <f>(SUM($D$118:AC118)*$C$104/$C$106)+(SUM($D$118:AC118)*$C$105/$C$107)</f>
        <v>30805291.855009828</v>
      </c>
      <c r="AD120" s="149">
        <f>(SUM($D$118:AD118)*$C$104/$C$106)+(SUM($D$118:AD118)*$C$105/$C$107)</f>
        <v>31990110.772510201</v>
      </c>
      <c r="AE120" s="149">
        <f>(SUM($D$118:AE118)*$C$104/$C$106)+(SUM($D$118:AE118)*$C$105/$C$107)</f>
        <v>33174929.690010577</v>
      </c>
      <c r="AF120" s="149">
        <f>(SUM($D$118:AF118)*$C$104/$C$106)+(SUM($D$118:AF118)*$C$105/$C$107)</f>
        <v>34359748.607510954</v>
      </c>
      <c r="AG120" s="149">
        <f>(SUM($D$118:AG118)*$C$104/$C$106)+(SUM($D$118:AG118)*$C$105/$C$107)</f>
        <v>35544567.525011331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1481023.6468754725</v>
      </c>
      <c r="E122" s="72">
        <f>(SUM($D$118:E118)*$C$109)</f>
        <v>2962047.293750945</v>
      </c>
      <c r="F122" s="72">
        <f>(SUM($D$118:F118)*$C$109)</f>
        <v>4443070.9406264182</v>
      </c>
      <c r="G122" s="72">
        <f>(SUM($D$118:G118)*$C$109)</f>
        <v>5924094.58750189</v>
      </c>
      <c r="H122" s="72">
        <f>(SUM($D$118:H118)*$C$109)</f>
        <v>7405118.2343773628</v>
      </c>
      <c r="I122" s="72">
        <f>(SUM($D$118:I118)*$C$109)</f>
        <v>8886141.8812528364</v>
      </c>
      <c r="J122" s="72">
        <f>(SUM($D$118:J118)*$C$109)</f>
        <v>10367165.528128309</v>
      </c>
      <c r="K122" s="72">
        <f>(SUM($D$118:K118)*$C$109)</f>
        <v>11848189.175003782</v>
      </c>
      <c r="L122" s="72">
        <f>(SUM($D$118:L118)*$C$109)</f>
        <v>13329212.821879255</v>
      </c>
      <c r="M122" s="72">
        <f>(SUM($D$118:M118)*$C$109)</f>
        <v>14810236.468754729</v>
      </c>
      <c r="N122" s="72">
        <f>(SUM($D$118:N118)*$C$109)</f>
        <v>16291260.115630202</v>
      </c>
      <c r="O122" s="72">
        <f>(SUM($D$118:O118)*$C$109)</f>
        <v>17772283.762505677</v>
      </c>
      <c r="P122" s="72">
        <f>(SUM($D$118:P118)*$C$109)</f>
        <v>19253307.409381147</v>
      </c>
      <c r="Q122" s="72">
        <f>(SUM($D$118:Q118)*$C$109)</f>
        <v>20734331.056256622</v>
      </c>
      <c r="R122" s="72">
        <f>(SUM($D$118:R118)*$C$109)</f>
        <v>22215354.703132093</v>
      </c>
      <c r="S122" s="72">
        <f>(SUM($D$118:S118)*$C$109)</f>
        <v>23696378.350007568</v>
      </c>
      <c r="T122" s="72">
        <f>(SUM($D$118:T118)*$C$109)</f>
        <v>25177401.996883042</v>
      </c>
      <c r="U122" s="72">
        <f>(SUM($D$118:U118)*$C$109)</f>
        <v>26658425.643758513</v>
      </c>
      <c r="V122" s="72">
        <f>(SUM($D$118:V118)*$C$109)</f>
        <v>28139449.290633988</v>
      </c>
      <c r="W122" s="72">
        <f>(SUM($D$118:W118)*$C$109)</f>
        <v>29620472.937509462</v>
      </c>
      <c r="X122" s="72">
        <f>(SUM($D$118:X118)*$C$109)</f>
        <v>31101496.584384933</v>
      </c>
      <c r="Y122" s="72">
        <f>(SUM($D$118:Y118)*$C$109)</f>
        <v>32582520.231260404</v>
      </c>
      <c r="Z122" s="72">
        <f>(SUM($D$118:Z118)*$C$109)</f>
        <v>34063543.878135875</v>
      </c>
      <c r="AA122" s="72">
        <f>(SUM($D$118:AA118)*$C$109)</f>
        <v>35544567.525011346</v>
      </c>
      <c r="AB122" s="72">
        <f>(SUM($D$118:AB118)*$C$109)</f>
        <v>37025591.171886809</v>
      </c>
      <c r="AC122" s="72">
        <f>(SUM($D$118:AC118)*$C$109)</f>
        <v>38506614.81876228</v>
      </c>
      <c r="AD122" s="72">
        <f>(SUM($D$118:AD118)*$C$109)</f>
        <v>39987638.465637751</v>
      </c>
      <c r="AE122" s="72">
        <f>(SUM($D$118:AE118)*$C$109)</f>
        <v>41468662.112513222</v>
      </c>
      <c r="AF122" s="72">
        <f>(SUM($D$118:AF118)*$C$109)</f>
        <v>42949685.759388693</v>
      </c>
      <c r="AG122" s="72">
        <f>(SUM($D$118:AG118)*$C$109)</f>
        <v>44430709.406264164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42303.600000000006</v>
      </c>
      <c r="D126" s="140"/>
    </row>
    <row r="127" spans="1:33" x14ac:dyDescent="0.35">
      <c r="A127" s="77" t="s">
        <v>151</v>
      </c>
      <c r="B127" s="77" t="s">
        <v>133</v>
      </c>
      <c r="C127" s="126">
        <v>32310.9</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37307.25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13817.5</v>
      </c>
      <c r="D135" s="157">
        <f t="shared" ref="D135:AG135" si="14">$C$135*D13</f>
        <v>14158.471483899655</v>
      </c>
      <c r="E135" s="157">
        <f t="shared" si="14"/>
        <v>14507.857047975373</v>
      </c>
      <c r="F135" s="157">
        <f t="shared" si="14"/>
        <v>14865.864324678989</v>
      </c>
      <c r="G135" s="157">
        <f t="shared" si="14"/>
        <v>15232.706070163826</v>
      </c>
      <c r="H135" s="157">
        <f t="shared" si="14"/>
        <v>15608.600290721164</v>
      </c>
      <c r="I135" s="157">
        <f t="shared" si="14"/>
        <v>15993.770372336781</v>
      </c>
      <c r="J135" s="157">
        <f t="shared" si="14"/>
        <v>16388.445213444509</v>
      </c>
      <c r="K135" s="157">
        <f t="shared" si="14"/>
        <v>16792.859360955732</v>
      </c>
      <c r="L135" s="157">
        <f t="shared" si="14"/>
        <v>17207.253149645676</v>
      </c>
      <c r="M135" s="157">
        <f t="shared" si="14"/>
        <v>17631.872844979254</v>
      </c>
      <c r="N135" s="157">
        <f t="shared" si="14"/>
        <v>18066.97078946144</v>
      </c>
      <c r="O135" s="157">
        <f t="shared" si="14"/>
        <v>18512.805552599082</v>
      </c>
      <c r="P135" s="157">
        <f t="shared" si="14"/>
        <v>18969.642084563293</v>
      </c>
      <c r="Q135" s="157">
        <f t="shared" si="14"/>
        <v>19437.751873643727</v>
      </c>
      <c r="R135" s="157">
        <f t="shared" si="14"/>
        <v>19917.413107588334</v>
      </c>
      <c r="S135" s="157">
        <f t="shared" si="14"/>
        <v>20408.910838924454</v>
      </c>
      <c r="T135" s="157">
        <f t="shared" si="14"/>
        <v>20912.537154359503</v>
      </c>
      <c r="U135" s="157">
        <f t="shared" si="14"/>
        <v>21428.591348361937</v>
      </c>
      <c r="V135" s="157">
        <f t="shared" si="14"/>
        <v>21957.380101025607</v>
      </c>
      <c r="W135" s="157">
        <f t="shared" si="14"/>
        <v>22499.217660323269</v>
      </c>
      <c r="X135" s="157">
        <f t="shared" si="14"/>
        <v>23054.426028857499</v>
      </c>
      <c r="Y135" s="157">
        <f t="shared" si="14"/>
        <v>23623.33515522004</v>
      </c>
      <c r="Z135" s="157">
        <f t="shared" si="14"/>
        <v>24206.283130073254</v>
      </c>
      <c r="AA135" s="157">
        <f t="shared" si="14"/>
        <v>24803.616387070269</v>
      </c>
      <c r="AB135" s="157">
        <f t="shared" si="14"/>
        <v>25415.689908733169</v>
      </c>
      <c r="AC135" s="157">
        <f t="shared" si="14"/>
        <v>26042.867437411602</v>
      </c>
      <c r="AD135" s="157">
        <f t="shared" si="14"/>
        <v>26685.521691447153</v>
      </c>
      <c r="AE135" s="157">
        <f t="shared" si="14"/>
        <v>27344.034586671987</v>
      </c>
      <c r="AF135" s="157">
        <f t="shared" si="14"/>
        <v>28018.797463373347</v>
      </c>
      <c r="AG135" s="157">
        <f t="shared" si="14"/>
        <v>28710.211318858805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7.0000000000000007E-2</v>
      </c>
      <c r="F4" s="65">
        <v>7.0000000000000007E-2</v>
      </c>
      <c r="G4" s="65">
        <v>7.0000000000000007E-2</v>
      </c>
      <c r="H4" s="65">
        <v>7.0000000000000007E-2</v>
      </c>
      <c r="I4" s="65">
        <v>7.0000000000000007E-2</v>
      </c>
      <c r="J4" s="65">
        <v>7.0000000000000007E-2</v>
      </c>
      <c r="K4" s="65">
        <v>0.06</v>
      </c>
      <c r="L4" s="65">
        <v>0.06</v>
      </c>
      <c r="M4" s="65">
        <v>0.06</v>
      </c>
      <c r="N4" s="65">
        <v>0.06</v>
      </c>
      <c r="O4" s="65">
        <v>0.06</v>
      </c>
      <c r="P4" s="65">
        <v>0.06</v>
      </c>
      <c r="Q4" s="65">
        <v>0.05</v>
      </c>
      <c r="R4" s="65">
        <v>0.05</v>
      </c>
      <c r="S4" s="65">
        <v>0.04</v>
      </c>
      <c r="T4" s="65">
        <v>0.04</v>
      </c>
      <c r="U4" s="65">
        <v>0.04</v>
      </c>
      <c r="V4" s="65">
        <v>0.03</v>
      </c>
      <c r="W4" s="65">
        <v>0.03</v>
      </c>
      <c r="X4" s="65">
        <v>0.03</v>
      </c>
      <c r="Y4" s="65">
        <v>0.03</v>
      </c>
      <c r="Z4" s="65">
        <v>0.03</v>
      </c>
      <c r="AA4" s="65">
        <v>2.5000000000000001E-2</v>
      </c>
      <c r="AB4" s="65">
        <v>2.5000000000000001E-2</v>
      </c>
      <c r="AC4" s="65">
        <v>2.5000000000000001E-2</v>
      </c>
      <c r="AD4" s="65">
        <v>2.5000000000000001E-2</v>
      </c>
      <c r="AE4" s="65">
        <v>2.5000000000000001E-2</v>
      </c>
      <c r="AF4" s="65">
        <v>2.5000000000000001E-2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2.501671761352795</v>
      </c>
      <c r="C6" s="25"/>
      <c r="D6" s="25"/>
      <c r="E6" s="27">
        <f>'Debt worksheet'!C5/'Profit and Loss'!C5</f>
        <v>0</v>
      </c>
      <c r="F6" s="28">
        <f ca="1">'Debt worksheet'!D5/'Profit and Loss'!D5</f>
        <v>0.46307814637586903</v>
      </c>
      <c r="G6" s="28">
        <f ca="1">'Debt worksheet'!E5/'Profit and Loss'!E5</f>
        <v>0.86657674726176703</v>
      </c>
      <c r="H6" s="28">
        <f ca="1">'Debt worksheet'!F5/'Profit and Loss'!F5</f>
        <v>1.2125279140193956</v>
      </c>
      <c r="I6" s="28">
        <f ca="1">'Debt worksheet'!G5/'Profit and Loss'!G5</f>
        <v>1.503145356499423</v>
      </c>
      <c r="J6" s="28">
        <f ca="1">'Debt worksheet'!H5/'Profit and Loss'!H5</f>
        <v>1.7407820293245957</v>
      </c>
      <c r="K6" s="28">
        <f ca="1">'Debt worksheet'!I5/'Profit and Loss'!I5</f>
        <v>1.9460807292534599</v>
      </c>
      <c r="L6" s="28">
        <f ca="1">'Debt worksheet'!J5/'Profit and Loss'!J5</f>
        <v>2.1151880946960149</v>
      </c>
      <c r="M6" s="28">
        <f ca="1">'Debt worksheet'!K5/'Profit and Loss'!K5</f>
        <v>2.2490833277993389</v>
      </c>
      <c r="N6" s="28">
        <f ca="1">'Debt worksheet'!L5/'Profit and Loss'!L5</f>
        <v>2.3488538519955418</v>
      </c>
      <c r="O6" s="28">
        <f ca="1">'Debt worksheet'!M5/'Profit and Loss'!M5</f>
        <v>2.4156755407655512</v>
      </c>
      <c r="P6" s="28">
        <f ca="1">'Debt worksheet'!N5/'Profit and Loss'!N5</f>
        <v>2.4507950283352393</v>
      </c>
      <c r="Q6" s="28">
        <f ca="1">'Debt worksheet'!O5/'Profit and Loss'!O5</f>
        <v>2.4788997682804323</v>
      </c>
      <c r="R6" s="28">
        <f ca="1">'Debt worksheet'!P5/'Profit and Loss'!P5</f>
        <v>2.4868762616077591</v>
      </c>
      <c r="S6" s="28">
        <f ca="1">'Debt worksheet'!Q5/'Profit and Loss'!Q5</f>
        <v>2.4988401868652854</v>
      </c>
      <c r="T6" s="28">
        <f ca="1">'Debt worksheet'!R5/'Profit and Loss'!R5</f>
        <v>2.5003509697560853</v>
      </c>
      <c r="U6" s="28">
        <f ca="1">'Debt worksheet'!S5/'Profit and Loss'!S5</f>
        <v>2.4911212053245371</v>
      </c>
      <c r="V6" s="28">
        <f ca="1">'Debt worksheet'!T5/'Profit and Loss'!T5</f>
        <v>2.4949160907826835</v>
      </c>
      <c r="W6" s="28">
        <f ca="1">'Debt worksheet'!U5/'Profit and Loss'!U5</f>
        <v>2.4967339202124395</v>
      </c>
      <c r="X6" s="28">
        <f ca="1">'Debt worksheet'!V5/'Profit and Loss'!V5</f>
        <v>2.4960437625945993</v>
      </c>
      <c r="Y6" s="28">
        <f ca="1">'Debt worksheet'!W5/'Profit and Loss'!W5</f>
        <v>2.4923567523974719</v>
      </c>
      <c r="Z6" s="28">
        <f ca="1">'Debt worksheet'!X5/'Profit and Loss'!X5</f>
        <v>2.4852239293737592</v>
      </c>
      <c r="AA6" s="28">
        <f ca="1">'Debt worksheet'!Y5/'Profit and Loss'!Y5</f>
        <v>2.4863036070429447</v>
      </c>
      <c r="AB6" s="28">
        <f ca="1">'Debt worksheet'!Z5/'Profit and Loss'!Z5</f>
        <v>2.4878740110183153</v>
      </c>
      <c r="AC6" s="28">
        <f ca="1">'Debt worksheet'!AA5/'Profit and Loss'!AA5</f>
        <v>2.4894850073605674</v>
      </c>
      <c r="AD6" s="28">
        <f ca="1">'Debt worksheet'!AB5/'Profit and Loss'!AB5</f>
        <v>2.4907125473171585</v>
      </c>
      <c r="AE6" s="28">
        <f ca="1">'Debt worksheet'!AC5/'Profit and Loss'!AC5</f>
        <v>2.491157601457572</v>
      </c>
      <c r="AF6" s="28">
        <f ca="1">'Debt worksheet'!AD5/'Profit and Loss'!AD5</f>
        <v>2.4904451316560201</v>
      </c>
      <c r="AG6" s="28">
        <f ca="1">'Debt worksheet'!AE5/'Profit and Loss'!AE5</f>
        <v>2.4955270813701986</v>
      </c>
      <c r="AH6" s="28">
        <f ca="1">'Debt worksheet'!AF5/'Profit and Loss'!AF5</f>
        <v>2.501671761352795</v>
      </c>
      <c r="AI6" s="31"/>
    </row>
    <row r="7" spans="1:35" ht="21" x14ac:dyDescent="0.5">
      <c r="A7" s="19" t="s">
        <v>38</v>
      </c>
      <c r="B7" s="26" t="e">
        <f ca="1">MIN('Price and Financial ratios'!E7:AH7)</f>
        <v>#DIV/0!</v>
      </c>
      <c r="C7" s="26"/>
      <c r="D7" s="26"/>
      <c r="E7" s="56" t="e">
        <f ca="1">'Cash Flow'!C7/'Debt worksheet'!C5</f>
        <v>#DIV/0!</v>
      </c>
      <c r="F7" s="32">
        <f ca="1">'Cash Flow'!D7/'Debt worksheet'!D5</f>
        <v>1.3462217388802646</v>
      </c>
      <c r="G7" s="32">
        <f ca="1">'Cash Flow'!E7/'Debt worksheet'!E5</f>
        <v>0.69515951102225437</v>
      </c>
      <c r="H7" s="32">
        <f ca="1">'Cash Flow'!F7/'Debt worksheet'!F5</f>
        <v>0.48329668847239832</v>
      </c>
      <c r="I7" s="32">
        <f ca="1">'Cash Flow'!G7/'Debt worksheet'!G5</f>
        <v>0.38175089803882101</v>
      </c>
      <c r="J7" s="32">
        <f ca="1">'Cash Flow'!H7/'Debt worksheet'!H5</f>
        <v>0.32485319846513067</v>
      </c>
      <c r="K7" s="32">
        <f ca="1">'Cash Flow'!I7/'Debt worksheet'!I5</f>
        <v>0.28580629096311222</v>
      </c>
      <c r="L7" s="32">
        <f ca="1">'Cash Flow'!J7/'Debt worksheet'!J5</f>
        <v>0.25988717189546945</v>
      </c>
      <c r="M7" s="17">
        <f ca="1">'Cash Flow'!K7/'Debt worksheet'!K5</f>
        <v>0.24268695298785253</v>
      </c>
      <c r="N7" s="17">
        <f ca="1">'Cash Flow'!L7/'Debt worksheet'!L5</f>
        <v>0.23175181252136107</v>
      </c>
      <c r="O7" s="17">
        <f ca="1">'Cash Flow'!M7/'Debt worksheet'!M5</f>
        <v>0.22565699639464704</v>
      </c>
      <c r="P7" s="17">
        <f ca="1">'Cash Flow'!N7/'Debt worksheet'!N5</f>
        <v>0.22357698281718319</v>
      </c>
      <c r="Q7" s="17">
        <f ca="1">'Cash Flow'!O7/'Debt worksheet'!O5</f>
        <v>0.22109228034873518</v>
      </c>
      <c r="R7" s="17">
        <f ca="1">'Cash Flow'!P7/'Debt worksheet'!P5</f>
        <v>0.22103511692177458</v>
      </c>
      <c r="S7" s="17">
        <f ca="1">'Cash Flow'!Q7/'Debt worksheet'!Q5</f>
        <v>0.2193289763019661</v>
      </c>
      <c r="T7" s="17">
        <f ca="1">'Cash Flow'!R7/'Debt worksheet'!R5</f>
        <v>0.21895887284039064</v>
      </c>
      <c r="U7" s="17">
        <f ca="1">'Cash Flow'!S7/'Debt worksheet'!S5</f>
        <v>0.21992768355730083</v>
      </c>
      <c r="V7" s="17">
        <f ca="1">'Cash Flow'!T7/'Debt worksheet'!T5</f>
        <v>0.21823538550017013</v>
      </c>
      <c r="W7" s="17">
        <f ca="1">'Cash Flow'!U7/'Debt worksheet'!U5</f>
        <v>0.21694554245310244</v>
      </c>
      <c r="X7" s="17">
        <f ca="1">'Cash Flow'!V7/'Debt worksheet'!V5</f>
        <v>0.21609709222082957</v>
      </c>
      <c r="Y7" s="17">
        <f ca="1">'Cash Flow'!W7/'Debt worksheet'!W5</f>
        <v>0.21572693734811127</v>
      </c>
      <c r="Z7" s="17">
        <f ca="1">'Cash Flow'!X7/'Debt worksheet'!X5</f>
        <v>0.21587152164894838</v>
      </c>
      <c r="AA7" s="17">
        <f ca="1">'Cash Flow'!Y7/'Debt worksheet'!Y5</f>
        <v>0.21453529308464567</v>
      </c>
      <c r="AB7" s="17">
        <f ca="1">'Cash Flow'!Z7/'Debt worksheet'!Z5</f>
        <v>0.21329275952475552</v>
      </c>
      <c r="AC7" s="17">
        <f ca="1">'Cash Flow'!AA7/'Debt worksheet'!AA5</f>
        <v>0.21218281752580226</v>
      </c>
      <c r="AD7" s="17">
        <f ca="1">'Cash Flow'!AB7/'Debt worksheet'!AB5</f>
        <v>0.21124107337065742</v>
      </c>
      <c r="AE7" s="17">
        <f ca="1">'Cash Flow'!AC7/'Debt worksheet'!AC5</f>
        <v>0.21050028452786307</v>
      </c>
      <c r="AF7" s="17">
        <f ca="1">'Cash Flow'!AD7/'Debt worksheet'!AD5</f>
        <v>0.2099908756865744</v>
      </c>
      <c r="AG7" s="17">
        <f ca="1">'Cash Flow'!AE7/'Debt worksheet'!AE5</f>
        <v>0.2085225720278012</v>
      </c>
      <c r="AH7" s="17">
        <f ca="1">'Cash Flow'!AF7/'Debt worksheet'!AF5</f>
        <v>0.20705854088459932</v>
      </c>
      <c r="AI7" s="29"/>
    </row>
    <row r="8" spans="1:35" ht="21" x14ac:dyDescent="0.5">
      <c r="A8" s="19" t="s">
        <v>33</v>
      </c>
      <c r="B8" s="26">
        <f ca="1">MAX('Price and Financial ratios'!E8:AH8)</f>
        <v>0.37930604013360641</v>
      </c>
      <c r="C8" s="26"/>
      <c r="D8" s="176"/>
      <c r="E8" s="17">
        <f>'Balance Sheet'!B11/'Balance Sheet'!B8</f>
        <v>0</v>
      </c>
      <c r="F8" s="17">
        <f ca="1">'Balance Sheet'!C11/'Balance Sheet'!C8</f>
        <v>8.0025353201670368E-2</v>
      </c>
      <c r="G8" s="17">
        <f ca="1">'Balance Sheet'!D11/'Balance Sheet'!D8</f>
        <v>0.14299425252509984</v>
      </c>
      <c r="H8" s="17">
        <f ca="1">'Balance Sheet'!E11/'Balance Sheet'!E8</f>
        <v>0.19359557067758304</v>
      </c>
      <c r="I8" s="17">
        <f ca="1">'Balance Sheet'!F11/'Balance Sheet'!F8</f>
        <v>0.23469929620726912</v>
      </c>
      <c r="J8" s="17">
        <f ca="1">'Balance Sheet'!G11/'Balance Sheet'!G8</f>
        <v>0.26812958977126994</v>
      </c>
      <c r="K8" s="17">
        <f ca="1">'Balance Sheet'!H11/'Balance Sheet'!H8</f>
        <v>0.29507203690291761</v>
      </c>
      <c r="L8" s="17">
        <f ca="1">'Balance Sheet'!I11/'Balance Sheet'!I8</f>
        <v>0.31765379825973267</v>
      </c>
      <c r="M8" s="17">
        <f ca="1">'Balance Sheet'!J11/'Balance Sheet'!J8</f>
        <v>0.33630847426638244</v>
      </c>
      <c r="N8" s="17">
        <f ca="1">'Balance Sheet'!K11/'Balance Sheet'!K8</f>
        <v>0.35131659322276926</v>
      </c>
      <c r="O8" s="17">
        <f ca="1">'Balance Sheet'!L11/'Balance Sheet'!L8</f>
        <v>0.36284867003905036</v>
      </c>
      <c r="P8" s="17">
        <f ca="1">'Balance Sheet'!M11/'Balance Sheet'!M8</f>
        <v>0.37099349676229215</v>
      </c>
      <c r="Q8" s="17">
        <f ca="1">'Balance Sheet'!N11/'Balance Sheet'!N8</f>
        <v>0.37577718620081174</v>
      </c>
      <c r="R8" s="17">
        <f ca="1">'Balance Sheet'!O11/'Balance Sheet'!O8</f>
        <v>0.37857262174430878</v>
      </c>
      <c r="S8" s="17">
        <f ca="1">'Balance Sheet'!P11/'Balance Sheet'!P8</f>
        <v>0.37930559501559014</v>
      </c>
      <c r="T8" s="17">
        <f ca="1">'Balance Sheet'!Q11/'Balance Sheet'!Q8</f>
        <v>0.37930604013360641</v>
      </c>
      <c r="U8" s="17">
        <f ca="1">'Balance Sheet'!R11/'Balance Sheet'!R8</f>
        <v>0.37845341199097909</v>
      </c>
      <c r="V8" s="17">
        <f ca="1">'Balance Sheet'!S11/'Balance Sheet'!S8</f>
        <v>0.37663206239725688</v>
      </c>
      <c r="W8" s="17">
        <f ca="1">'Balance Sheet'!T11/'Balance Sheet'!T8</f>
        <v>0.37516190844344466</v>
      </c>
      <c r="X8" s="17">
        <f ca="1">'Balance Sheet'!U11/'Balance Sheet'!U8</f>
        <v>0.37390710588581855</v>
      </c>
      <c r="Y8" s="17">
        <f ca="1">'Balance Sheet'!V11/'Balance Sheet'!V8</f>
        <v>0.37274541831065061</v>
      </c>
      <c r="Z8" s="17">
        <f ca="1">'Balance Sheet'!W11/'Balance Sheet'!W8</f>
        <v>0.37156550212952422</v>
      </c>
      <c r="AA8" s="17">
        <f ca="1">'Balance Sheet'!X11/'Balance Sheet'!X8</f>
        <v>0.3702647525602773</v>
      </c>
      <c r="AB8" s="17">
        <f ca="1">'Balance Sheet'!Y11/'Balance Sheet'!Y8</f>
        <v>0.36946232105312654</v>
      </c>
      <c r="AC8" s="17">
        <f ca="1">'Balance Sheet'!Z11/'Balance Sheet'!Z8</f>
        <v>0.36905845815690547</v>
      </c>
      <c r="AD8" s="17">
        <f ca="1">'Balance Sheet'!AA11/'Balance Sheet'!AA8</f>
        <v>0.36896224606393097</v>
      </c>
      <c r="AE8" s="17">
        <f ca="1">'Balance Sheet'!AB11/'Balance Sheet'!AB8</f>
        <v>0.36909012157703885</v>
      </c>
      <c r="AF8" s="17">
        <f ca="1">'Balance Sheet'!AC11/'Balance Sheet'!AC8</f>
        <v>0.36936465966236087</v>
      </c>
      <c r="AG8" s="17">
        <f ca="1">'Balance Sheet'!AD11/'Balance Sheet'!AD8</f>
        <v>0.36971356496974095</v>
      </c>
      <c r="AH8" s="17">
        <f ca="1">'Balance Sheet'!AE11/'Balance Sheet'!AE8</f>
        <v>0.37049902216111313</v>
      </c>
      <c r="AI8" s="29"/>
    </row>
    <row r="9" spans="1:35" ht="21.5" thickBot="1" x14ac:dyDescent="0.55000000000000004">
      <c r="A9" s="20" t="s">
        <v>32</v>
      </c>
      <c r="B9" s="21">
        <f ca="1">MIN('Price and Financial ratios'!E9:AH9)</f>
        <v>6.6337612306764147</v>
      </c>
      <c r="C9" s="21"/>
      <c r="D9" s="177"/>
      <c r="E9" s="21">
        <f ca="1">('Cash Flow'!C7+'Profit and Loss'!C8)/('Profit and Loss'!C8)</f>
        <v>37.544849945769151</v>
      </c>
      <c r="F9" s="21">
        <f ca="1">('Cash Flow'!D7+'Profit and Loss'!D8)/('Profit and Loss'!D8)</f>
        <v>19.746713177770239</v>
      </c>
      <c r="G9" s="21">
        <f ca="1">('Cash Flow'!E7+'Profit and Loss'!E8)/('Profit and Loss'!E8)</f>
        <v>13.946758167484026</v>
      </c>
      <c r="H9" s="21">
        <f ca="1">('Cash Flow'!F7+'Profit and Loss'!F8)/('Profit and Loss'!F8)</f>
        <v>11.1593486792699</v>
      </c>
      <c r="I9" s="21">
        <f ca="1">('Cash Flow'!G7+'Profit and Loss'!G8)/('Profit and Loss'!G8)</f>
        <v>9.5900943316828595</v>
      </c>
      <c r="J9" s="21">
        <f ca="1">('Cash Flow'!H7+'Profit and Loss'!H8)/('Profit and Loss'!H8)</f>
        <v>8.6438099907257424</v>
      </c>
      <c r="K9" s="21">
        <f ca="1">('Cash Flow'!I7+'Profit and Loss'!I8)/('Profit and Loss'!I8)</f>
        <v>7.9170805941625808</v>
      </c>
      <c r="L9" s="21">
        <f ca="1">('Cash Flow'!J7+'Profit and Loss'!J8)/('Profit and Loss'!J8)</f>
        <v>7.4293561444379126</v>
      </c>
      <c r="M9" s="21">
        <f ca="1">('Cash Flow'!K7+'Profit and Loss'!K8)/('Profit and Loss'!K8)</f>
        <v>7.1127294317725207</v>
      </c>
      <c r="N9" s="21">
        <f ca="1">('Cash Flow'!L7+'Profit and Loss'!L8)/('Profit and Loss'!L8)</f>
        <v>6.9276114191704332</v>
      </c>
      <c r="O9" s="21">
        <f ca="1">('Cash Flow'!M7+'Profit and Loss'!M8)/('Profit and Loss'!M8)</f>
        <v>6.8508586705783907</v>
      </c>
      <c r="P9" s="21">
        <f ca="1">('Cash Flow'!N7+'Profit and Loss'!N8)/('Profit and Loss'!N8)</f>
        <v>6.8699023186374495</v>
      </c>
      <c r="Q9" s="21">
        <f ca="1">('Cash Flow'!O7+'Profit and Loss'!O8)/('Profit and Loss'!O8)</f>
        <v>6.8524017093253624</v>
      </c>
      <c r="R9" s="21">
        <f ca="1">('Cash Flow'!P7+'Profit and Loss'!P8)/('Profit and Loss'!P8)</f>
        <v>6.8977816767577051</v>
      </c>
      <c r="S9" s="21">
        <f ca="1">('Cash Flow'!Q7+'Profit and Loss'!Q8)/('Profit and Loss'!Q8)</f>
        <v>6.8768585581279389</v>
      </c>
      <c r="T9" s="21">
        <f ca="1">('Cash Flow'!R7+'Profit and Loss'!R8)/('Profit and Loss'!R8)</f>
        <v>6.892239394216868</v>
      </c>
      <c r="U9" s="21">
        <f ca="1">('Cash Flow'!S7+'Profit and Loss'!S8)/('Profit and Loss'!S8)</f>
        <v>6.9446549050255184</v>
      </c>
      <c r="V9" s="21">
        <f ca="1">('Cash Flow'!T7+'Profit and Loss'!T8)/('Profit and Loss'!T8)</f>
        <v>6.9035967672922993</v>
      </c>
      <c r="W9" s="21">
        <f ca="1">('Cash Flow'!U7+'Profit and Loss'!U8)/('Profit and Loss'!U8)</f>
        <v>6.8746044646900524</v>
      </c>
      <c r="X9" s="21">
        <f ca="1">('Cash Flow'!V7+'Profit and Loss'!V8)/('Profit and Loss'!V8)</f>
        <v>6.8586660784680662</v>
      </c>
      <c r="Y9" s="21">
        <f ca="1">('Cash Flow'!W7+'Profit and Loss'!W8)/('Profit and Loss'!W8)</f>
        <v>6.8567527714439782</v>
      </c>
      <c r="Z9" s="21">
        <f ca="1">('Cash Flow'!X7+'Profit and Loss'!X8)/('Profit and Loss'!X8)</f>
        <v>6.8698622885300002</v>
      </c>
      <c r="AA9" s="21">
        <f ca="1">('Cash Flow'!Y7+'Profit and Loss'!Y8)/('Profit and Loss'!Y8)</f>
        <v>6.8323787326550978</v>
      </c>
      <c r="AB9" s="21">
        <f ca="1">('Cash Flow'!Z7+'Profit and Loss'!Z8)/('Profit and Loss'!Z8)</f>
        <v>6.7985068475565704</v>
      </c>
      <c r="AC9" s="21">
        <f ca="1">('Cash Flow'!AA7+'Profit and Loss'!AA8)/('Profit and Loss'!AA8)</f>
        <v>6.7692228058514861</v>
      </c>
      <c r="AD9" s="21">
        <f ca="1">('Cash Flow'!AB7+'Profit and Loss'!AB8)/('Profit and Loss'!AB8)</f>
        <v>6.7454224026466534</v>
      </c>
      <c r="AE9" s="21">
        <f ca="1">('Cash Flow'!AC7+'Profit and Loss'!AC8)/('Profit and Loss'!AC8)</f>
        <v>6.727935330060224</v>
      </c>
      <c r="AF9" s="21">
        <f ca="1">('Cash Flow'!AD7+'Profit and Loss'!AD8)/('Profit and Loss'!AD8)</f>
        <v>6.717540875109802</v>
      </c>
      <c r="AG9" s="21">
        <f ca="1">('Cash Flow'!AE7+'Profit and Loss'!AE8)/('Profit and Loss'!AE8)</f>
        <v>6.6751741980700086</v>
      </c>
      <c r="AH9" s="21">
        <f ca="1">('Cash Flow'!AF7+'Profit and Loss'!AF8)/('Profit and Loss'!AF8)</f>
        <v>6.6337612306764147</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10071614.235538008</v>
      </c>
      <c r="D5" s="1">
        <f>Assumptions!E111</f>
        <v>10071614.235538008</v>
      </c>
      <c r="E5" s="1">
        <f>Assumptions!F111</f>
        <v>10071614.235538008</v>
      </c>
      <c r="F5" s="1">
        <f>Assumptions!G111</f>
        <v>10071614.235538008</v>
      </c>
      <c r="G5" s="1">
        <f>Assumptions!H111</f>
        <v>10071614.235538008</v>
      </c>
      <c r="H5" s="1">
        <f>Assumptions!I111</f>
        <v>10071614.235538008</v>
      </c>
      <c r="I5" s="1">
        <f>Assumptions!J111</f>
        <v>10071614.235538008</v>
      </c>
      <c r="J5" s="1">
        <f>Assumptions!K111</f>
        <v>10071614.235538008</v>
      </c>
      <c r="K5" s="1">
        <f>Assumptions!L111</f>
        <v>10071614.235538008</v>
      </c>
      <c r="L5" s="1">
        <f>Assumptions!M111</f>
        <v>10071614.235538008</v>
      </c>
      <c r="M5" s="1">
        <f>Assumptions!N111</f>
        <v>10071614.235538008</v>
      </c>
      <c r="N5" s="1">
        <f>Assumptions!O111</f>
        <v>10071614.235538008</v>
      </c>
      <c r="O5" s="1">
        <f>Assumptions!P111</f>
        <v>10071614.235538008</v>
      </c>
      <c r="P5" s="1">
        <f>Assumptions!Q111</f>
        <v>10071614.235538008</v>
      </c>
      <c r="Q5" s="1">
        <f>Assumptions!R111</f>
        <v>10071614.235538008</v>
      </c>
      <c r="R5" s="1">
        <f>Assumptions!S111</f>
        <v>10071614.235538008</v>
      </c>
      <c r="S5" s="1">
        <f>Assumptions!T111</f>
        <v>10071614.235538008</v>
      </c>
      <c r="T5" s="1">
        <f>Assumptions!U111</f>
        <v>10071614.235538008</v>
      </c>
      <c r="U5" s="1">
        <f>Assumptions!V111</f>
        <v>10071614.235538008</v>
      </c>
      <c r="V5" s="1">
        <f>Assumptions!W111</f>
        <v>10071614.235538008</v>
      </c>
      <c r="W5" s="1">
        <f>Assumptions!X111</f>
        <v>10071614.235538008</v>
      </c>
      <c r="X5" s="1">
        <f>Assumptions!Y111</f>
        <v>10071614.235538008</v>
      </c>
      <c r="Y5" s="1">
        <f>Assumptions!Z111</f>
        <v>10071614.235538008</v>
      </c>
      <c r="Z5" s="1">
        <f>Assumptions!AA111</f>
        <v>10071614.235538008</v>
      </c>
      <c r="AA5" s="1">
        <f>Assumptions!AB111</f>
        <v>10071614.235538008</v>
      </c>
      <c r="AB5" s="1">
        <f>Assumptions!AC111</f>
        <v>10071614.235538008</v>
      </c>
      <c r="AC5" s="1">
        <f>Assumptions!AD111</f>
        <v>10071614.235538008</v>
      </c>
      <c r="AD5" s="1">
        <f>Assumptions!AE111</f>
        <v>10071614.235538008</v>
      </c>
      <c r="AE5" s="1">
        <f>Assumptions!AF111</f>
        <v>10071614.235538008</v>
      </c>
      <c r="AF5" s="1">
        <f>Assumptions!AG111</f>
        <v>10071614.235538008</v>
      </c>
    </row>
    <row r="6" spans="1:32" x14ac:dyDescent="0.35">
      <c r="A6" t="s">
        <v>68</v>
      </c>
      <c r="C6" s="1">
        <f>Assumptions!D113</f>
        <v>49367454.895849086</v>
      </c>
      <c r="D6" s="1">
        <f>Assumptions!E113</f>
        <v>49367454.895849086</v>
      </c>
      <c r="E6" s="1">
        <f>Assumptions!F113</f>
        <v>49367454.895849086</v>
      </c>
      <c r="F6" s="1">
        <f>Assumptions!G113</f>
        <v>49367454.895849086</v>
      </c>
      <c r="G6" s="1">
        <f>Assumptions!H113</f>
        <v>49367454.895849086</v>
      </c>
      <c r="H6" s="1">
        <f>Assumptions!I113</f>
        <v>49367454.895849086</v>
      </c>
      <c r="I6" s="1">
        <f>Assumptions!J113</f>
        <v>49367454.895849086</v>
      </c>
      <c r="J6" s="1">
        <f>Assumptions!K113</f>
        <v>49367454.895849086</v>
      </c>
      <c r="K6" s="1">
        <f>Assumptions!L113</f>
        <v>49367454.895849086</v>
      </c>
      <c r="L6" s="1">
        <f>Assumptions!M113</f>
        <v>49367454.895849086</v>
      </c>
      <c r="M6" s="1">
        <f>Assumptions!N113</f>
        <v>49367454.895849086</v>
      </c>
      <c r="N6" s="1">
        <f>Assumptions!O113</f>
        <v>49367454.895849086</v>
      </c>
      <c r="O6" s="1">
        <f>Assumptions!P113</f>
        <v>49367454.895849086</v>
      </c>
      <c r="P6" s="1">
        <f>Assumptions!Q113</f>
        <v>49367454.895849086</v>
      </c>
      <c r="Q6" s="1">
        <f>Assumptions!R113</f>
        <v>49367454.895849086</v>
      </c>
      <c r="R6" s="1">
        <f>Assumptions!S113</f>
        <v>49367454.895849086</v>
      </c>
      <c r="S6" s="1">
        <f>Assumptions!T113</f>
        <v>49367454.895849086</v>
      </c>
      <c r="T6" s="1">
        <f>Assumptions!U113</f>
        <v>49367454.895849086</v>
      </c>
      <c r="U6" s="1">
        <f>Assumptions!V113</f>
        <v>49367454.895849086</v>
      </c>
      <c r="V6" s="1">
        <f>Assumptions!W113</f>
        <v>49367454.895849086</v>
      </c>
      <c r="W6" s="1">
        <f>Assumptions!X113</f>
        <v>49367454.895849086</v>
      </c>
      <c r="X6" s="1">
        <f>Assumptions!Y113</f>
        <v>49367454.895849086</v>
      </c>
      <c r="Y6" s="1">
        <f>Assumptions!Z113</f>
        <v>49367454.895849086</v>
      </c>
      <c r="Z6" s="1">
        <f>Assumptions!AA113</f>
        <v>49367454.895849086</v>
      </c>
      <c r="AA6" s="1">
        <f>Assumptions!AB113</f>
        <v>49367454.895849086</v>
      </c>
      <c r="AB6" s="1">
        <f>Assumptions!AC113</f>
        <v>49367454.895849086</v>
      </c>
      <c r="AC6" s="1">
        <f>Assumptions!AD113</f>
        <v>49367454.895849086</v>
      </c>
      <c r="AD6" s="1">
        <f>Assumptions!AE113</f>
        <v>49367454.895849086</v>
      </c>
      <c r="AE6" s="1">
        <f>Assumptions!AF113</f>
        <v>49367454.895849086</v>
      </c>
      <c r="AF6" s="1">
        <f>Assumptions!AG113</f>
        <v>49367454.895849086</v>
      </c>
    </row>
    <row r="7" spans="1:32" x14ac:dyDescent="0.35">
      <c r="A7" t="s">
        <v>73</v>
      </c>
      <c r="C7" s="1">
        <f>Assumptions!D120</f>
        <v>1184818.9175003781</v>
      </c>
      <c r="D7" s="1">
        <f>Assumptions!E120</f>
        <v>2369637.8350007562</v>
      </c>
      <c r="E7" s="1">
        <f>Assumptions!F120</f>
        <v>3554456.7525011338</v>
      </c>
      <c r="F7" s="1">
        <f>Assumptions!G120</f>
        <v>4739275.6700015124</v>
      </c>
      <c r="G7" s="1">
        <f>Assumptions!H120</f>
        <v>5924094.5875018891</v>
      </c>
      <c r="H7" s="1">
        <f>Assumptions!I120</f>
        <v>7108913.5050022677</v>
      </c>
      <c r="I7" s="1">
        <f>Assumptions!J120</f>
        <v>8293732.4225026481</v>
      </c>
      <c r="J7" s="1">
        <f>Assumptions!K120</f>
        <v>9478551.3400030248</v>
      </c>
      <c r="K7" s="1">
        <f>Assumptions!L120</f>
        <v>10663370.257503403</v>
      </c>
      <c r="L7" s="1">
        <f>Assumptions!M120</f>
        <v>11848189.175003784</v>
      </c>
      <c r="M7" s="1">
        <f>Assumptions!N120</f>
        <v>13033008.09250416</v>
      </c>
      <c r="N7" s="1">
        <f>Assumptions!O120</f>
        <v>14217827.010004541</v>
      </c>
      <c r="O7" s="1">
        <f>Assumptions!P120</f>
        <v>15402645.927504918</v>
      </c>
      <c r="P7" s="1">
        <f>Assumptions!Q120</f>
        <v>16587464.845005298</v>
      </c>
      <c r="Q7" s="1">
        <f>Assumptions!R120</f>
        <v>17772283.762505677</v>
      </c>
      <c r="R7" s="1">
        <f>Assumptions!S120</f>
        <v>18957102.680006053</v>
      </c>
      <c r="S7" s="1">
        <f>Assumptions!T120</f>
        <v>20141921.597506434</v>
      </c>
      <c r="T7" s="1">
        <f>Assumptions!U120</f>
        <v>21326740.51500681</v>
      </c>
      <c r="U7" s="1">
        <f>Assumptions!V120</f>
        <v>22511559.432507191</v>
      </c>
      <c r="V7" s="1">
        <f>Assumptions!W120</f>
        <v>23696378.350007568</v>
      </c>
      <c r="W7" s="1">
        <f>Assumptions!X120</f>
        <v>24881197.267507952</v>
      </c>
      <c r="X7" s="1">
        <f>Assumptions!Y120</f>
        <v>26066016.185008321</v>
      </c>
      <c r="Y7" s="1">
        <f>Assumptions!Z120</f>
        <v>27250835.102508698</v>
      </c>
      <c r="Z7" s="1">
        <f>Assumptions!AA120</f>
        <v>28435654.020009071</v>
      </c>
      <c r="AA7" s="1">
        <f>Assumptions!AB120</f>
        <v>29620472.937509451</v>
      </c>
      <c r="AB7" s="1">
        <f>Assumptions!AC120</f>
        <v>30805291.855009828</v>
      </c>
      <c r="AC7" s="1">
        <f>Assumptions!AD120</f>
        <v>31990110.772510201</v>
      </c>
      <c r="AD7" s="1">
        <f>Assumptions!AE120</f>
        <v>33174929.690010577</v>
      </c>
      <c r="AE7" s="1">
        <f>Assumptions!AF120</f>
        <v>34359748.607510954</v>
      </c>
      <c r="AF7" s="1">
        <f>Assumptions!AG120</f>
        <v>35544567.525011331</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10393905.891075224</v>
      </c>
      <c r="D11" s="1">
        <f>D5*D$9</f>
        <v>10726510.87958963</v>
      </c>
      <c r="E11" s="1">
        <f t="shared" ref="D11:AF13" si="1">E5*E$9</f>
        <v>11069759.227736499</v>
      </c>
      <c r="F11" s="1">
        <f t="shared" si="1"/>
        <v>11423991.523024067</v>
      </c>
      <c r="G11" s="1">
        <f t="shared" si="1"/>
        <v>11789559.251760839</v>
      </c>
      <c r="H11" s="1">
        <f t="shared" si="1"/>
        <v>12166825.147817183</v>
      </c>
      <c r="I11" s="1">
        <f t="shared" si="1"/>
        <v>12556163.552547332</v>
      </c>
      <c r="J11" s="1">
        <f t="shared" si="1"/>
        <v>12957960.786228849</v>
      </c>
      <c r="K11" s="1">
        <f t="shared" si="1"/>
        <v>13372615.531388173</v>
      </c>
      <c r="L11" s="1">
        <f t="shared" si="1"/>
        <v>13800539.228392592</v>
      </c>
      <c r="M11" s="1">
        <f t="shared" si="1"/>
        <v>14242156.483701155</v>
      </c>
      <c r="N11" s="1">
        <f t="shared" si="1"/>
        <v>14697905.491179593</v>
      </c>
      <c r="O11" s="1">
        <f t="shared" si="1"/>
        <v>15168238.46689734</v>
      </c>
      <c r="P11" s="1">
        <f t="shared" si="1"/>
        <v>15653622.097838052</v>
      </c>
      <c r="Q11" s="1">
        <f t="shared" si="1"/>
        <v>16154538.004968867</v>
      </c>
      <c r="R11" s="1">
        <f t="shared" si="1"/>
        <v>16671483.221127875</v>
      </c>
      <c r="S11" s="1">
        <f t="shared" si="1"/>
        <v>17204970.684203967</v>
      </c>
      <c r="T11" s="1">
        <f t="shared" si="1"/>
        <v>17755529.746098492</v>
      </c>
      <c r="U11" s="1">
        <f t="shared" si="1"/>
        <v>18323706.697973642</v>
      </c>
      <c r="V11" s="1">
        <f t="shared" si="1"/>
        <v>18910065.312308803</v>
      </c>
      <c r="W11" s="1">
        <f t="shared" si="1"/>
        <v>19515187.402302686</v>
      </c>
      <c r="X11" s="1">
        <f t="shared" si="1"/>
        <v>20139673.39917637</v>
      </c>
      <c r="Y11" s="1">
        <f t="shared" si="1"/>
        <v>20784142.947950009</v>
      </c>
      <c r="Z11" s="1">
        <f t="shared" si="1"/>
        <v>21449235.522284411</v>
      </c>
      <c r="AA11" s="1">
        <f t="shared" si="1"/>
        <v>22135611.058997519</v>
      </c>
      <c r="AB11" s="1">
        <f t="shared" si="1"/>
        <v>22843950.612885434</v>
      </c>
      <c r="AC11" s="1">
        <f t="shared" si="1"/>
        <v>23574957.032497764</v>
      </c>
      <c r="AD11" s="1">
        <f t="shared" si="1"/>
        <v>24329355.657537699</v>
      </c>
      <c r="AE11" s="1">
        <f t="shared" si="1"/>
        <v>25107895.038578905</v>
      </c>
      <c r="AF11" s="1">
        <f t="shared" si="1"/>
        <v>25911347.679813422</v>
      </c>
    </row>
    <row r="12" spans="1:32" x14ac:dyDescent="0.35">
      <c r="A12" t="s">
        <v>71</v>
      </c>
      <c r="C12" s="1">
        <f t="shared" ref="C12:R12" si="2">C6*C$9</f>
        <v>50947213.452516258</v>
      </c>
      <c r="D12" s="1">
        <f t="shared" si="2"/>
        <v>52577524.282996774</v>
      </c>
      <c r="E12" s="1">
        <f t="shared" si="2"/>
        <v>54260005.060052671</v>
      </c>
      <c r="F12" s="1">
        <f t="shared" si="2"/>
        <v>55996325.221974358</v>
      </c>
      <c r="G12" s="1">
        <f t="shared" si="2"/>
        <v>57788207.629077539</v>
      </c>
      <c r="H12" s="1">
        <f t="shared" si="2"/>
        <v>59637430.273208015</v>
      </c>
      <c r="I12" s="1">
        <f t="shared" si="2"/>
        <v>61545828.041950665</v>
      </c>
      <c r="J12" s="1">
        <f t="shared" si="2"/>
        <v>63515294.539293095</v>
      </c>
      <c r="K12" s="1">
        <f t="shared" si="2"/>
        <v>65547783.96455048</v>
      </c>
      <c r="L12" s="1">
        <f t="shared" si="2"/>
        <v>67645313.051416084</v>
      </c>
      <c r="M12" s="1">
        <f t="shared" si="2"/>
        <v>69809963.069061399</v>
      </c>
      <c r="N12" s="1">
        <f t="shared" si="2"/>
        <v>72043881.88727136</v>
      </c>
      <c r="O12" s="1">
        <f t="shared" si="2"/>
        <v>74349286.107664049</v>
      </c>
      <c r="P12" s="1">
        <f t="shared" si="2"/>
        <v>76728463.263109297</v>
      </c>
      <c r="Q12" s="1">
        <f t="shared" si="2"/>
        <v>79183774.08752878</v>
      </c>
      <c r="R12" s="1">
        <f t="shared" si="2"/>
        <v>81717654.858329713</v>
      </c>
      <c r="S12" s="1">
        <f t="shared" si="1"/>
        <v>84332619.813796282</v>
      </c>
      <c r="T12" s="1">
        <f t="shared" si="1"/>
        <v>87031263.647837743</v>
      </c>
      <c r="U12" s="1">
        <f t="shared" si="1"/>
        <v>89816264.084568545</v>
      </c>
      <c r="V12" s="1">
        <f t="shared" si="1"/>
        <v>92690384.535274744</v>
      </c>
      <c r="W12" s="1">
        <f t="shared" si="1"/>
        <v>95656476.840403542</v>
      </c>
      <c r="X12" s="1">
        <f t="shared" si="1"/>
        <v>98717484.099296451</v>
      </c>
      <c r="Y12" s="1">
        <f t="shared" si="1"/>
        <v>101876443.59047392</v>
      </c>
      <c r="Z12" s="1">
        <f t="shared" si="1"/>
        <v>105136489.78536908</v>
      </c>
      <c r="AA12" s="1">
        <f t="shared" si="1"/>
        <v>108500857.45850092</v>
      </c>
      <c r="AB12" s="1">
        <f t="shared" si="1"/>
        <v>111972884.89717294</v>
      </c>
      <c r="AC12" s="1">
        <f t="shared" si="1"/>
        <v>115556017.21388246</v>
      </c>
      <c r="AD12" s="1">
        <f t="shared" si="1"/>
        <v>119253809.76472671</v>
      </c>
      <c r="AE12" s="1">
        <f t="shared" si="1"/>
        <v>123069931.67719796</v>
      </c>
      <c r="AF12" s="1">
        <f t="shared" si="1"/>
        <v>127008169.49086829</v>
      </c>
    </row>
    <row r="13" spans="1:32" x14ac:dyDescent="0.35">
      <c r="A13" t="s">
        <v>74</v>
      </c>
      <c r="C13" s="1">
        <f>C7*C$9</f>
        <v>1222733.1228603902</v>
      </c>
      <c r="D13" s="1">
        <f t="shared" si="1"/>
        <v>2523721.1655838452</v>
      </c>
      <c r="E13" s="1">
        <f t="shared" si="1"/>
        <v>3906720.3643237916</v>
      </c>
      <c r="F13" s="1">
        <f t="shared" si="1"/>
        <v>5375647.221309538</v>
      </c>
      <c r="G13" s="1">
        <f t="shared" si="1"/>
        <v>6934584.9154893039</v>
      </c>
      <c r="H13" s="1">
        <f t="shared" si="1"/>
        <v>8587789.9593419526</v>
      </c>
      <c r="I13" s="1">
        <f t="shared" si="1"/>
        <v>10339699.111047713</v>
      </c>
      <c r="J13" s="1">
        <f t="shared" si="1"/>
        <v>12194936.551544275</v>
      </c>
      <c r="K13" s="1">
        <f t="shared" si="1"/>
        <v>14158321.336342905</v>
      </c>
      <c r="L13" s="1">
        <f t="shared" si="1"/>
        <v>16234875.132339865</v>
      </c>
      <c r="M13" s="1">
        <f t="shared" si="1"/>
        <v>18429830.250232212</v>
      </c>
      <c r="N13" s="1">
        <f t="shared" si="1"/>
        <v>20748637.983534161</v>
      </c>
      <c r="O13" s="1">
        <f t="shared" si="1"/>
        <v>23196977.265591189</v>
      </c>
      <c r="P13" s="1">
        <f t="shared" si="1"/>
        <v>25780763.65640473</v>
      </c>
      <c r="Q13" s="1">
        <f t="shared" si="1"/>
        <v>28506158.671510369</v>
      </c>
      <c r="R13" s="1">
        <f t="shared" si="1"/>
        <v>31379579.465598617</v>
      </c>
      <c r="S13" s="1">
        <f t="shared" si="1"/>
        <v>34407708.884028889</v>
      </c>
      <c r="T13" s="1">
        <f t="shared" si="1"/>
        <v>37597505.895865917</v>
      </c>
      <c r="U13" s="1">
        <f t="shared" si="1"/>
        <v>40956216.42256327</v>
      </c>
      <c r="V13" s="1">
        <f t="shared" si="1"/>
        <v>44491384.576931886</v>
      </c>
      <c r="W13" s="1">
        <f t="shared" si="1"/>
        <v>48210864.327563412</v>
      </c>
      <c r="X13" s="1">
        <f t="shared" si="1"/>
        <v>52122831.60442853</v>
      </c>
      <c r="Y13" s="1">
        <f t="shared" si="1"/>
        <v>56235796.861941606</v>
      </c>
      <c r="Z13" s="1">
        <f t="shared" si="1"/>
        <v>60558618.116372593</v>
      </c>
      <c r="AA13" s="1">
        <f t="shared" si="1"/>
        <v>65100514.475100555</v>
      </c>
      <c r="AB13" s="1">
        <f t="shared" si="1"/>
        <v>69871080.175835907</v>
      </c>
      <c r="AC13" s="1">
        <f t="shared" si="1"/>
        <v>74880299.154595822</v>
      </c>
      <c r="AD13" s="1">
        <f t="shared" si="1"/>
        <v>80138560.161896333</v>
      </c>
      <c r="AE13" s="1">
        <f t="shared" si="1"/>
        <v>85656672.44732976</v>
      </c>
      <c r="AF13" s="1">
        <f t="shared" si="1"/>
        <v>91445882.033425137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62563852.466451868</v>
      </c>
      <c r="D25" s="40">
        <f>SUM(D11:D13,D18:D23)</f>
        <v>65827756.328170255</v>
      </c>
      <c r="E25" s="40">
        <f t="shared" ref="E25:AF25" si="7">SUM(E11:E13,E18:E23)</f>
        <v>69236484.652112961</v>
      </c>
      <c r="F25" s="40">
        <f t="shared" si="7"/>
        <v>72795963.966307968</v>
      </c>
      <c r="G25" s="40">
        <f t="shared" si="7"/>
        <v>76512351.79632768</v>
      </c>
      <c r="H25" s="40">
        <f t="shared" si="7"/>
        <v>80392045.38036716</v>
      </c>
      <c r="I25" s="40">
        <f t="shared" si="7"/>
        <v>84441690.705545709</v>
      </c>
      <c r="J25" s="40">
        <f t="shared" si="7"/>
        <v>88668191.877066225</v>
      </c>
      <c r="K25" s="40">
        <f t="shared" si="7"/>
        <v>93078720.83228156</v>
      </c>
      <c r="L25" s="40">
        <f t="shared" si="7"/>
        <v>97680727.412148535</v>
      </c>
      <c r="M25" s="40">
        <f t="shared" si="7"/>
        <v>102481949.80299476</v>
      </c>
      <c r="N25" s="40">
        <f t="shared" si="7"/>
        <v>107490425.36198512</v>
      </c>
      <c r="O25" s="40">
        <f t="shared" si="7"/>
        <v>112714501.84015258</v>
      </c>
      <c r="P25" s="40">
        <f t="shared" si="7"/>
        <v>118162849.01735207</v>
      </c>
      <c r="Q25" s="40">
        <f t="shared" si="7"/>
        <v>123844470.76400802</v>
      </c>
      <c r="R25" s="40">
        <f t="shared" si="7"/>
        <v>129768717.54505619</v>
      </c>
      <c r="S25" s="40">
        <f t="shared" si="7"/>
        <v>135945299.38202915</v>
      </c>
      <c r="T25" s="40">
        <f t="shared" si="7"/>
        <v>142384299.28980213</v>
      </c>
      <c r="U25" s="40">
        <f t="shared" si="7"/>
        <v>149096187.20510545</v>
      </c>
      <c r="V25" s="40">
        <f t="shared" si="7"/>
        <v>156091834.42451543</v>
      </c>
      <c r="W25" s="40">
        <f t="shared" si="7"/>
        <v>163382528.57026964</v>
      </c>
      <c r="X25" s="40">
        <f t="shared" si="7"/>
        <v>170979989.10290134</v>
      </c>
      <c r="Y25" s="40">
        <f t="shared" si="7"/>
        <v>178896383.40036553</v>
      </c>
      <c r="Z25" s="40">
        <f t="shared" si="7"/>
        <v>187144343.42402607</v>
      </c>
      <c r="AA25" s="40">
        <f t="shared" si="7"/>
        <v>195736982.99259898</v>
      </c>
      <c r="AB25" s="40">
        <f t="shared" si="7"/>
        <v>204687915.68589428</v>
      </c>
      <c r="AC25" s="40">
        <f t="shared" si="7"/>
        <v>214011273.40097603</v>
      </c>
      <c r="AD25" s="40">
        <f t="shared" si="7"/>
        <v>223721725.58416075</v>
      </c>
      <c r="AE25" s="40">
        <f t="shared" si="7"/>
        <v>233834499.16310662</v>
      </c>
      <c r="AF25" s="40">
        <f t="shared" si="7"/>
        <v>244365399.20410687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54068074.771124989</v>
      </c>
      <c r="D5" s="59">
        <f>C5*('Price and Financial ratios'!F4+1)*(1+Assumptions!$C$13)</f>
        <v>59280462.129536495</v>
      </c>
      <c r="E5" s="59">
        <f>D5*('Price and Financial ratios'!G4+1)*(1+Assumptions!$C$13)</f>
        <v>64995345.31546057</v>
      </c>
      <c r="F5" s="59">
        <f>E5*('Price and Financial ratios'!H4+1)*(1+Assumptions!$C$13)</f>
        <v>71261167.017305642</v>
      </c>
      <c r="G5" s="59">
        <f>F5*('Price and Financial ratios'!I4+1)*(1+Assumptions!$C$13)</f>
        <v>78131040.000188738</v>
      </c>
      <c r="H5" s="59">
        <f>G5*('Price and Financial ratios'!J4+1)*(1+Assumptions!$C$13)</f>
        <v>85663197.320760071</v>
      </c>
      <c r="I5" s="59">
        <f>H5*('Price and Financial ratios'!K4+1)*(1+Assumptions!$C$13)</f>
        <v>93043715.047931239</v>
      </c>
      <c r="J5" s="59">
        <f>I5*('Price and Financial ratios'!L4+1)*(1+Assumptions!$C$13)</f>
        <v>101060118.93887845</v>
      </c>
      <c r="K5" s="59">
        <f>J5*('Price and Financial ratios'!M4+1)*(1+Assumptions!$C$13)</f>
        <v>109767195.28749448</v>
      </c>
      <c r="L5" s="59">
        <f>K5*('Price and Financial ratios'!N4+1)*(1+Assumptions!$C$13)</f>
        <v>119224450.63190688</v>
      </c>
      <c r="M5" s="59">
        <f>L5*('Price and Financial ratios'!O4+1)*(1+Assumptions!$C$13)</f>
        <v>129496518.43841384</v>
      </c>
      <c r="N5" s="59">
        <f>M5*('Price and Financial ratios'!P4+1)*(1+Assumptions!$C$13)</f>
        <v>140653600.82424769</v>
      </c>
      <c r="O5" s="59">
        <f>N5*('Price and Financial ratios'!Q4+1)*(1+Assumptions!$C$13)</f>
        <v>151330703.54237825</v>
      </c>
      <c r="P5" s="59">
        <f>O5*('Price and Financial ratios'!R4+1)*(1+Assumptions!$C$13)</f>
        <v>162818311.79883459</v>
      </c>
      <c r="Q5" s="59">
        <f>P5*('Price and Financial ratios'!S4+1)*(1+Assumptions!$C$13)</f>
        <v>173509590.13185465</v>
      </c>
      <c r="R5" s="59">
        <f>Q5*('Price and Financial ratios'!T4+1)*(1+Assumptions!$C$13)</f>
        <v>184902899.03582996</v>
      </c>
      <c r="S5" s="59">
        <f>R5*('Price and Financial ratios'!U4+1)*(1+Assumptions!$C$13)</f>
        <v>197044336.54573855</v>
      </c>
      <c r="T5" s="59">
        <f>S5*('Price and Financial ratios'!V4+1)*(1+Assumptions!$C$13)</f>
        <v>207963960.09756967</v>
      </c>
      <c r="U5" s="59">
        <f>T5*('Price and Financial ratios'!W4+1)*(1+Assumptions!$C$13)</f>
        <v>219488717.40053517</v>
      </c>
      <c r="V5" s="59">
        <f>U5*('Price and Financial ratios'!X4+1)*(1+Assumptions!$C$13)</f>
        <v>231652143.20562929</v>
      </c>
      <c r="W5" s="59">
        <f>V5*('Price and Financial ratios'!Y4+1)*(1+Assumptions!$C$13)</f>
        <v>244489630.66212961</v>
      </c>
      <c r="X5" s="59">
        <f>W5*('Price and Financial ratios'!Z4+1)*(1+Assumptions!$C$13)</f>
        <v>258038534.30462015</v>
      </c>
      <c r="Y5" s="59">
        <f>X5*('Price and Financial ratios'!AA4+1)*(1+Assumptions!$C$13)</f>
        <v>271016248.26789993</v>
      </c>
      <c r="Z5" s="59">
        <f>Y5*('Price and Financial ratios'!AB4+1)*(1+Assumptions!$C$13)</f>
        <v>284646659.5508517</v>
      </c>
      <c r="AA5" s="59">
        <f>Z5*('Price and Financial ratios'!AC4+1)*(1+Assumptions!$C$13)</f>
        <v>298962594.72002733</v>
      </c>
      <c r="AB5" s="59">
        <f>AA5*('Price and Financial ratios'!AD4+1)*(1+Assumptions!$C$13)</f>
        <v>313998531.31163818</v>
      </c>
      <c r="AC5" s="59">
        <f>AB5*('Price and Financial ratios'!AE4+1)*(1+Assumptions!$C$13)</f>
        <v>329790680.86493623</v>
      </c>
      <c r="AD5" s="59">
        <f>AC5*('Price and Financial ratios'!AF4+1)*(1+Assumptions!$C$13)</f>
        <v>346377076.13165206</v>
      </c>
      <c r="AE5" s="59">
        <f>AD5*('Price and Financial ratios'!AG4+1)*(1+Assumptions!$C$13)</f>
        <v>362732889.02467448</v>
      </c>
      <c r="AF5" s="59">
        <f>AE5*('Price and Financial ratios'!AH4+1)*(1+Assumptions!$C$13)</f>
        <v>379861018.08359081</v>
      </c>
    </row>
    <row r="6" spans="1:32" s="11" customFormat="1" x14ac:dyDescent="0.35">
      <c r="A6" s="11" t="s">
        <v>20</v>
      </c>
      <c r="C6" s="59">
        <f>C27</f>
        <v>17994906.795750011</v>
      </c>
      <c r="D6" s="59">
        <f t="shared" ref="D6:AF6" si="1">D27</f>
        <v>20353353.290170774</v>
      </c>
      <c r="E6" s="59">
        <f>E27</f>
        <v>22817344.530008979</v>
      </c>
      <c r="F6" s="59">
        <f t="shared" si="1"/>
        <v>25390877.982554287</v>
      </c>
      <c r="G6" s="59">
        <f t="shared" si="1"/>
        <v>28078099.293106355</v>
      </c>
      <c r="H6" s="59">
        <f t="shared" si="1"/>
        <v>30883307.973703548</v>
      </c>
      <c r="I6" s="59">
        <f t="shared" si="1"/>
        <v>33810963.322552592</v>
      </c>
      <c r="J6" s="59">
        <f t="shared" si="1"/>
        <v>36865690.584017344</v>
      </c>
      <c r="K6" s="59">
        <f t="shared" si="1"/>
        <v>40052287.359463491</v>
      </c>
      <c r="L6" s="59">
        <f t="shared" si="1"/>
        <v>43375730.279714093</v>
      </c>
      <c r="M6" s="59">
        <f t="shared" si="1"/>
        <v>46841181.950350061</v>
      </c>
      <c r="N6" s="59">
        <f t="shared" si="1"/>
        <v>50453998.181591168</v>
      </c>
      <c r="O6" s="59">
        <f t="shared" si="1"/>
        <v>54219735.51501663</v>
      </c>
      <c r="P6" s="59">
        <f t="shared" si="1"/>
        <v>58144159.059932977</v>
      </c>
      <c r="Q6" s="59">
        <f t="shared" si="1"/>
        <v>62233250.652769625</v>
      </c>
      <c r="R6" s="59">
        <f t="shared" si="1"/>
        <v>66493217.353481948</v>
      </c>
      <c r="S6" s="59">
        <f t="shared" si="1"/>
        <v>70930500.293568909</v>
      </c>
      <c r="T6" s="59">
        <f t="shared" si="1"/>
        <v>75551783.890967175</v>
      </c>
      <c r="U6" s="59">
        <f t="shared" si="1"/>
        <v>80364005.447770268</v>
      </c>
      <c r="V6" s="59">
        <f t="shared" si="1"/>
        <v>85374365.147437394</v>
      </c>
      <c r="W6" s="59">
        <f t="shared" si="1"/>
        <v>90590336.468907833</v>
      </c>
      <c r="X6" s="59">
        <f t="shared" si="1"/>
        <v>96019677.035820603</v>
      </c>
      <c r="Y6" s="59">
        <f t="shared" si="1"/>
        <v>101670439.91985986</v>
      </c>
      <c r="Z6" s="59">
        <f t="shared" si="1"/>
        <v>107550985.41810566</v>
      </c>
      <c r="AA6" s="59">
        <f t="shared" si="1"/>
        <v>113669993.32516664</v>
      </c>
      <c r="AB6" s="59">
        <f t="shared" si="1"/>
        <v>120036475.72181177</v>
      </c>
      <c r="AC6" s="59">
        <f t="shared" si="1"/>
        <v>126659790.30279946</v>
      </c>
      <c r="AD6" s="59">
        <f t="shared" si="1"/>
        <v>133549654.26763231</v>
      </c>
      <c r="AE6" s="59">
        <f t="shared" si="1"/>
        <v>140716158.79903889</v>
      </c>
      <c r="AF6" s="59">
        <f t="shared" si="1"/>
        <v>148169784.15511125</v>
      </c>
    </row>
    <row r="7" spans="1:32" x14ac:dyDescent="0.35">
      <c r="A7" t="s">
        <v>21</v>
      </c>
      <c r="C7" s="4">
        <f>Depreciation!C8+Depreciation!C9</f>
        <v>11616639.013935614</v>
      </c>
      <c r="D7" s="4">
        <f>Depreciation!D8+Depreciation!D9</f>
        <v>13250232.045173476</v>
      </c>
      <c r="E7" s="4">
        <f>Depreciation!E8+Depreciation!E9</f>
        <v>14976479.59206029</v>
      </c>
      <c r="F7" s="4">
        <f>Depreciation!F8+Depreciation!F9</f>
        <v>16799638.744333606</v>
      </c>
      <c r="G7" s="4">
        <f>Depreciation!G8+Depreciation!G9</f>
        <v>18724144.167250142</v>
      </c>
      <c r="H7" s="4">
        <f>Depreciation!H8+Depreciation!H9</f>
        <v>20754615.107159138</v>
      </c>
      <c r="I7" s="4">
        <f>Depreciation!I8+Depreciation!I9</f>
        <v>22895862.663595043</v>
      </c>
      <c r="J7" s="4">
        <f>Depreciation!J8+Depreciation!J9</f>
        <v>25152897.337773122</v>
      </c>
      <c r="K7" s="4">
        <f>Depreciation!K8+Depreciation!K9</f>
        <v>27530936.867731079</v>
      </c>
      <c r="L7" s="4">
        <f>Depreciation!L8+Depreciation!L9</f>
        <v>30035414.360732459</v>
      </c>
      <c r="M7" s="4">
        <f>Depreciation!M8+Depreciation!M9</f>
        <v>32671986.733933367</v>
      </c>
      <c r="N7" s="4">
        <f>Depreciation!N8+Depreciation!N9</f>
        <v>35446543.474713758</v>
      </c>
      <c r="O7" s="4">
        <f>Depreciation!O8+Depreciation!O9</f>
        <v>38365215.732488528</v>
      </c>
      <c r="P7" s="4">
        <f>Depreciation!P8+Depreciation!P9</f>
        <v>41434385.754242778</v>
      </c>
      <c r="Q7" s="4">
        <f>Depreciation!Q8+Depreciation!Q9</f>
        <v>44660696.676479235</v>
      </c>
      <c r="R7" s="4">
        <f>Depreciation!R8+Depreciation!R9</f>
        <v>48051062.686726496</v>
      </c>
      <c r="S7" s="4">
        <f>Depreciation!S8+Depreciation!S9</f>
        <v>51612679.568232857</v>
      </c>
      <c r="T7" s="4">
        <f>Depreciation!T8+Depreciation!T9</f>
        <v>55353035.641964406</v>
      </c>
      <c r="U7" s="4">
        <f>Depreciation!U8+Depreciation!U9</f>
        <v>59279923.120536909</v>
      </c>
      <c r="V7" s="4">
        <f>Depreciation!V8+Depreciation!V9</f>
        <v>63401449.88924069</v>
      </c>
      <c r="W7" s="4">
        <f>Depreciation!W8+Depreciation!W9</f>
        <v>67726051.729866102</v>
      </c>
      <c r="X7" s="4">
        <f>Depreciation!X8+Depreciation!X9</f>
        <v>72262505.003604904</v>
      </c>
      <c r="Y7" s="4">
        <f>Depreciation!Y8+Depreciation!Y9</f>
        <v>77019939.809891611</v>
      </c>
      <c r="Z7" s="4">
        <f>Depreciation!Z8+Depreciation!Z9</f>
        <v>82007853.638657004</v>
      </c>
      <c r="AA7" s="4">
        <f>Depreciation!AA8+Depreciation!AA9</f>
        <v>87236125.534098074</v>
      </c>
      <c r="AB7" s="4">
        <f>Depreciation!AB8+Depreciation!AB9</f>
        <v>92715030.788721338</v>
      </c>
      <c r="AC7" s="4">
        <f>Depreciation!AC8+Depreciation!AC9</f>
        <v>98455256.187093586</v>
      </c>
      <c r="AD7" s="4">
        <f>Depreciation!AD8+Depreciation!AD9</f>
        <v>104467915.81943403</v>
      </c>
      <c r="AE7" s="4">
        <f>Depreciation!AE8+Depreciation!AE9</f>
        <v>110764567.48590866</v>
      </c>
      <c r="AF7" s="4">
        <f>Depreciation!AF8+Depreciation!AF9</f>
        <v>117357229.71323857</v>
      </c>
    </row>
    <row r="8" spans="1:32" x14ac:dyDescent="0.35">
      <c r="A8" t="s">
        <v>6</v>
      </c>
      <c r="C8" s="4">
        <f ca="1">'Debt worksheet'!C8</f>
        <v>960802.0281737732</v>
      </c>
      <c r="D8" s="4">
        <f ca="1">'Debt worksheet'!D8</f>
        <v>1971320.9225719504</v>
      </c>
      <c r="E8" s="4">
        <f ca="1">'Debt worksheet'!E8</f>
        <v>3024215.3967928481</v>
      </c>
      <c r="F8" s="4">
        <f ca="1">'Debt worksheet'!F8</f>
        <v>4110480.8491164036</v>
      </c>
      <c r="G8" s="4">
        <f ca="1">'Debt worksheet'!G8</f>
        <v>5219233.4064663099</v>
      </c>
      <c r="H8" s="4">
        <f ca="1">'Debt worksheet'!H8</f>
        <v>6337470.3291525207</v>
      </c>
      <c r="I8" s="4">
        <f ca="1">'Debt worksheet'!I8</f>
        <v>7481640.6149827642</v>
      </c>
      <c r="J8" s="4">
        <f ca="1">'Debt worksheet'!J8</f>
        <v>8640644.9101139307</v>
      </c>
      <c r="K8" s="4">
        <f ca="1">'Debt worksheet'!K8</f>
        <v>9801428.3541582376</v>
      </c>
      <c r="L8" s="4">
        <f ca="1">'Debt worksheet'!L8</f>
        <v>10948755.027209004</v>
      </c>
      <c r="M8" s="4">
        <f ca="1">'Debt worksheet'!M8</f>
        <v>12064960.096613046</v>
      </c>
      <c r="N8" s="4">
        <f ca="1">'Debt worksheet'!N8</f>
        <v>13129677.60807207</v>
      </c>
      <c r="O8" s="4">
        <f ca="1">'Debt worksheet'!O8</f>
        <v>14171814.80986503</v>
      </c>
      <c r="P8" s="4">
        <f ca="1">'Debt worksheet'!P8</f>
        <v>15175045.781980097</v>
      </c>
      <c r="Q8" s="4">
        <f ca="1">'Debt worksheet'!Q8</f>
        <v>16181275.002023214</v>
      </c>
      <c r="R8" s="4">
        <f ca="1">'Debt worksheet'!R8</f>
        <v>17180146.380536791</v>
      </c>
      <c r="S8" s="4">
        <f ca="1">'Debt worksheet'!S8</f>
        <v>18159842.062261008</v>
      </c>
      <c r="T8" s="4">
        <f ca="1">'Debt worksheet'!T8</f>
        <v>19180172.404324345</v>
      </c>
      <c r="U8" s="4">
        <f ca="1">'Debt worksheet'!U8</f>
        <v>20237486.049902868</v>
      </c>
      <c r="V8" s="4">
        <f ca="1">'Debt worksheet'!V8</f>
        <v>21327438.365517296</v>
      </c>
      <c r="W8" s="4">
        <f ca="1">'Debt worksheet'!W8</f>
        <v>22444923.905403081</v>
      </c>
      <c r="X8" s="4">
        <f ca="1">'Debt worksheet'!X8</f>
        <v>23584003.647250406</v>
      </c>
      <c r="Y8" s="4">
        <f ca="1">'Debt worksheet'!Y8</f>
        <v>24785775.931690983</v>
      </c>
      <c r="Z8" s="4">
        <f ca="1">'Debt worksheet'!Z8</f>
        <v>26049201.406099256</v>
      </c>
      <c r="AA8" s="4">
        <f ca="1">'Debt worksheet'!AA8</f>
        <v>27372802.862196989</v>
      </c>
      <c r="AB8" s="4">
        <f ca="1">'Debt worksheet'!AB8</f>
        <v>28754619.653429396</v>
      </c>
      <c r="AC8" s="4">
        <f ca="1">'Debt worksheet'!AC8</f>
        <v>30192158.603926189</v>
      </c>
      <c r="AD8" s="4">
        <f ca="1">'Debt worksheet'!AD8</f>
        <v>31682341.175265417</v>
      </c>
      <c r="AE8" s="4">
        <f ca="1">'Debt worksheet'!AE8</f>
        <v>33260065.376245495</v>
      </c>
      <c r="AF8" s="4">
        <f ca="1">'Debt worksheet'!AF8</f>
        <v>34926073.741857462</v>
      </c>
    </row>
    <row r="9" spans="1:32" x14ac:dyDescent="0.35">
      <c r="A9" t="s">
        <v>22</v>
      </c>
      <c r="C9" s="4">
        <f ca="1">C5-C6-C7-C8</f>
        <v>23495726.933265593</v>
      </c>
      <c r="D9" s="4">
        <f t="shared" ref="D9:AF9" ca="1" si="2">D5-D6-D7-D8</f>
        <v>23705555.871620297</v>
      </c>
      <c r="E9" s="4">
        <f t="shared" ca="1" si="2"/>
        <v>24177305.796598453</v>
      </c>
      <c r="F9" s="4">
        <f t="shared" ca="1" si="2"/>
        <v>24960169.441301346</v>
      </c>
      <c r="G9" s="4">
        <f t="shared" ca="1" si="2"/>
        <v>26109563.133365933</v>
      </c>
      <c r="H9" s="4">
        <f t="shared" ca="1" si="2"/>
        <v>27687803.910744864</v>
      </c>
      <c r="I9" s="4">
        <f t="shared" ca="1" si="2"/>
        <v>28855248.446800839</v>
      </c>
      <c r="J9" s="4">
        <f t="shared" ca="1" si="2"/>
        <v>30400886.10697405</v>
      </c>
      <c r="K9" s="4">
        <f t="shared" ca="1" si="2"/>
        <v>32382542.70614168</v>
      </c>
      <c r="L9" s="4">
        <f t="shared" ca="1" si="2"/>
        <v>34864550.964251325</v>
      </c>
      <c r="M9" s="4">
        <f t="shared" ca="1" si="2"/>
        <v>37918389.657517374</v>
      </c>
      <c r="N9" s="4">
        <f t="shared" ca="1" si="2"/>
        <v>41623381.55987069</v>
      </c>
      <c r="O9" s="4">
        <f t="shared" ca="1" si="2"/>
        <v>44573937.485008061</v>
      </c>
      <c r="P9" s="4">
        <f t="shared" ca="1" si="2"/>
        <v>48064721.20267874</v>
      </c>
      <c r="Q9" s="4">
        <f t="shared" ca="1" si="2"/>
        <v>50434367.80058258</v>
      </c>
      <c r="R9" s="4">
        <f t="shared" ca="1" si="2"/>
        <v>53178472.615084723</v>
      </c>
      <c r="S9" s="4">
        <f t="shared" ca="1" si="2"/>
        <v>56341314.621675767</v>
      </c>
      <c r="T9" s="4">
        <f t="shared" ca="1" si="2"/>
        <v>57878968.160313748</v>
      </c>
      <c r="U9" s="4">
        <f t="shared" ca="1" si="2"/>
        <v>59607302.782325119</v>
      </c>
      <c r="V9" s="4">
        <f t="shared" ca="1" si="2"/>
        <v>61548889.803433917</v>
      </c>
      <c r="W9" s="4">
        <f t="shared" ca="1" si="2"/>
        <v>63728318.557952598</v>
      </c>
      <c r="X9" s="4">
        <f t="shared" ca="1" si="2"/>
        <v>66172348.617944233</v>
      </c>
      <c r="Y9" s="4">
        <f t="shared" ca="1" si="2"/>
        <v>67540092.606457472</v>
      </c>
      <c r="Z9" s="4">
        <f t="shared" ca="1" si="2"/>
        <v>69038619.087989777</v>
      </c>
      <c r="AA9" s="4">
        <f t="shared" ca="1" si="2"/>
        <v>70683672.998565614</v>
      </c>
      <c r="AB9" s="4">
        <f t="shared" ca="1" si="2"/>
        <v>72492405.147675663</v>
      </c>
      <c r="AC9" s="4">
        <f t="shared" ca="1" si="2"/>
        <v>74483475.771117002</v>
      </c>
      <c r="AD9" s="4">
        <f t="shared" ca="1" si="2"/>
        <v>76677164.869320303</v>
      </c>
      <c r="AE9" s="4">
        <f t="shared" ca="1" si="2"/>
        <v>77992097.363481432</v>
      </c>
      <c r="AF9" s="4">
        <f t="shared" ca="1" si="2"/>
        <v>79407930.473383516</v>
      </c>
    </row>
    <row r="12" spans="1:32" x14ac:dyDescent="0.35">
      <c r="A12" t="s">
        <v>79</v>
      </c>
      <c r="C12" s="2">
        <f>Assumptions!$C$25*Assumptions!D9*Assumptions!D13</f>
        <v>16481300.628643278</v>
      </c>
      <c r="D12" s="2">
        <f>Assumptions!$C$25*Assumptions!E9*Assumptions!E13</f>
        <v>17259542.284604613</v>
      </c>
      <c r="E12" s="2">
        <f>Assumptions!$C$25*Assumptions!F9*Assumptions!F13</f>
        <v>18074532.258476052</v>
      </c>
      <c r="F12" s="2">
        <f>Assumptions!$C$25*Assumptions!G9*Assumptions!G13</f>
        <v>18928005.793878753</v>
      </c>
      <c r="G12" s="2">
        <f>Assumptions!$C$25*Assumptions!H9*Assumptions!H13</f>
        <v>19821780.072073359</v>
      </c>
      <c r="H12" s="2">
        <f>Assumptions!$C$25*Assumptions!I9*Assumptions!I13</f>
        <v>20757758.081028681</v>
      </c>
      <c r="I12" s="2">
        <f>Assumptions!$C$25*Assumptions!J9*Assumptions!J13</f>
        <v>21737932.667186595</v>
      </c>
      <c r="J12" s="2">
        <f>Assumptions!$C$25*Assumptions!K9*Assumptions!K13</f>
        <v>22764390.778549854</v>
      </c>
      <c r="K12" s="2">
        <f>Assumptions!$C$25*Assumptions!L9*Assumptions!L13</f>
        <v>23839317.908127245</v>
      </c>
      <c r="L12" s="2">
        <f>Assumptions!$C$25*Assumptions!M9*Assumptions!M13</f>
        <v>24965002.747196704</v>
      </c>
      <c r="M12" s="2">
        <f>Assumptions!$C$25*Assumptions!N9*Assumptions!N13</f>
        <v>26143842.058294021</v>
      </c>
      <c r="N12" s="2">
        <f>Assumptions!$C$25*Assumptions!O9*Assumptions!O13</f>
        <v>27378345.778302502</v>
      </c>
      <c r="O12" s="2">
        <f>Assumptions!$C$25*Assumptions!P9*Assumptions!P13</f>
        <v>28671142.362508859</v>
      </c>
      <c r="P12" s="2">
        <f>Assumptions!$C$25*Assumptions!Q9*Assumptions!Q13</f>
        <v>30024984.381003655</v>
      </c>
      <c r="Q12" s="2">
        <f>Assumptions!$C$25*Assumptions!R9*Assumptions!R13</f>
        <v>31442754.37934202</v>
      </c>
      <c r="R12" s="2">
        <f>Assumptions!$C$25*Assumptions!S9*Assumptions!S13</f>
        <v>32927471.015942734</v>
      </c>
      <c r="S12" s="2">
        <f>Assumptions!$C$25*Assumptions!T9*Assumptions!T13</f>
        <v>34482295.489293516</v>
      </c>
      <c r="T12" s="2">
        <f>Assumptions!$C$25*Assumptions!U9*Assumptions!U13</f>
        <v>36110538.268646583</v>
      </c>
      <c r="U12" s="2">
        <f>Assumptions!$C$25*Assumptions!V9*Assumptions!V13</f>
        <v>37815666.142535746</v>
      </c>
      <c r="V12" s="2">
        <f>Assumptions!$C$25*Assumptions!W9*Assumptions!W13</f>
        <v>39601309.600121938</v>
      </c>
      <c r="W12" s="2">
        <f>Assumptions!$C$25*Assumptions!X9*Assumptions!X13</f>
        <v>41471270.561083622</v>
      </c>
      <c r="X12" s="2">
        <f>Assumptions!$C$25*Assumptions!Y9*Assumptions!Y13</f>
        <v>43429530.470510155</v>
      </c>
      <c r="Y12" s="2">
        <f>Assumptions!$C$25*Assumptions!Z9*Assumptions!Z13</f>
        <v>45480258.776033163</v>
      </c>
      <c r="Z12" s="2">
        <f>Assumptions!$C$25*Assumptions!AA9*Assumptions!AA13</f>
        <v>47627821.805245608</v>
      </c>
      <c r="AA12" s="2">
        <f>Assumptions!$C$25*Assumptions!AB9*Assumptions!AB13</f>
        <v>49876792.062309399</v>
      </c>
      <c r="AB12" s="2">
        <f>Assumptions!$C$25*Assumptions!AC9*Assumptions!AC13</f>
        <v>52231957.96354606</v>
      </c>
      <c r="AC12" s="2">
        <f>Assumptions!$C$25*Assumptions!AD9*Assumptions!AD13</f>
        <v>54698334.032738544</v>
      </c>
      <c r="AD12" s="2">
        <f>Assumptions!$C$25*Assumptions!AE9*Assumptions!AE13</f>
        <v>57281171.577852167</v>
      </c>
      <c r="AE12" s="2">
        <f>Assumptions!$C$25*Assumptions!AF9*Assumptions!AF13</f>
        <v>59985969.871906623</v>
      </c>
      <c r="AF12" s="2">
        <f>Assumptions!$C$25*Assumptions!AG9*Assumptions!AG13</f>
        <v>62818487.861805215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1513606.167106733</v>
      </c>
      <c r="D14" s="5">
        <f>Assumptions!E122*Assumptions!E9</f>
        <v>3093811.0055661621</v>
      </c>
      <c r="E14" s="5">
        <f>Assumptions!F122*Assumptions!F9</f>
        <v>4742812.2715329276</v>
      </c>
      <c r="F14" s="5">
        <f>Assumptions!G122*Assumptions!G9</f>
        <v>6462872.1886755349</v>
      </c>
      <c r="G14" s="5">
        <f>Assumptions!H122*Assumptions!H9</f>
        <v>8256319.2210329957</v>
      </c>
      <c r="H14" s="5">
        <f>Assumptions!I122*Assumptions!I9</f>
        <v>10125549.892674867</v>
      </c>
      <c r="I14" s="5">
        <f>Assumptions!J122*Assumptions!J9</f>
        <v>12073030.655366</v>
      </c>
      <c r="J14" s="5">
        <f>Assumptions!K122*Assumptions!K9</f>
        <v>14101299.80546749</v>
      </c>
      <c r="K14" s="5">
        <f>Assumptions!L122*Assumptions!L9</f>
        <v>16212969.451336244</v>
      </c>
      <c r="L14" s="5">
        <f>Assumptions!M122*Assumptions!M9</f>
        <v>18410727.532517385</v>
      </c>
      <c r="M14" s="5">
        <f>Assumptions!N122*Assumptions!N9</f>
        <v>20697339.892056044</v>
      </c>
      <c r="N14" s="5">
        <f>Assumptions!O122*Assumptions!O9</f>
        <v>23075652.403288666</v>
      </c>
      <c r="O14" s="5">
        <f>Assumptions!P122*Assumptions!P9</f>
        <v>25548593.152507767</v>
      </c>
      <c r="P14" s="5">
        <f>Assumptions!Q122*Assumptions!Q9</f>
        <v>28119174.678929318</v>
      </c>
      <c r="Q14" s="5">
        <f>Assumptions!R122*Assumptions!R9</f>
        <v>30790496.273427602</v>
      </c>
      <c r="R14" s="5">
        <f>Assumptions!S122*Assumptions!S9</f>
        <v>33565746.337539211</v>
      </c>
      <c r="S14" s="5">
        <f>Assumptions!T122*Assumptions!T9</f>
        <v>36448204.804275393</v>
      </c>
      <c r="T14" s="5">
        <f>Assumptions!U122*Assumptions!U9</f>
        <v>39441245.622320592</v>
      </c>
      <c r="U14" s="5">
        <f>Assumptions!V122*Assumptions!V9</f>
        <v>42548339.305234522</v>
      </c>
      <c r="V14" s="5">
        <f>Assumptions!W122*Assumptions!W9</f>
        <v>45773055.547315456</v>
      </c>
      <c r="W14" s="5">
        <f>Assumptions!X122*Assumptions!X9</f>
        <v>49119065.907824211</v>
      </c>
      <c r="X14" s="5">
        <f>Assumptions!Y122*Assumptions!Y9</f>
        <v>52590146.565310448</v>
      </c>
      <c r="Y14" s="5">
        <f>Assumptions!Z122*Assumptions!Z9</f>
        <v>56190181.143826693</v>
      </c>
      <c r="Z14" s="5">
        <f>Assumptions!AA122*Assumptions!AA9</f>
        <v>59923163.612860054</v>
      </c>
      <c r="AA14" s="5">
        <f>Assumptions!AB122*Assumptions!AB9</f>
        <v>63793201.262857251</v>
      </c>
      <c r="AB14" s="5">
        <f>Assumptions!AC122*Assumptions!AC9</f>
        <v>67804517.758265719</v>
      </c>
      <c r="AC14" s="5">
        <f>Assumptions!AD122*Assumptions!AD9</f>
        <v>71961456.270060927</v>
      </c>
      <c r="AD14" s="5">
        <f>Assumptions!AE122*Assumptions!AE9</f>
        <v>76268482.689780131</v>
      </c>
      <c r="AE14" s="5">
        <f>Assumptions!AF122*Assumptions!AF9</f>
        <v>80730188.927132264</v>
      </c>
      <c r="AF14" s="5">
        <f>Assumptions!AG122*Assumptions!AG9</f>
        <v>85351296.293306038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17994906.795750011</v>
      </c>
      <c r="D27" s="2">
        <f t="shared" ref="D27:AF27" si="8">D12+D13+D14+D19+D20+D22+D24+D25</f>
        <v>20353353.290170774</v>
      </c>
      <c r="E27" s="2">
        <f t="shared" si="8"/>
        <v>22817344.530008979</v>
      </c>
      <c r="F27" s="2">
        <f t="shared" si="8"/>
        <v>25390877.982554287</v>
      </c>
      <c r="G27" s="2">
        <f t="shared" si="8"/>
        <v>28078099.293106355</v>
      </c>
      <c r="H27" s="2">
        <f t="shared" si="8"/>
        <v>30883307.973703548</v>
      </c>
      <c r="I27" s="2">
        <f t="shared" si="8"/>
        <v>33810963.322552592</v>
      </c>
      <c r="J27" s="2">
        <f t="shared" si="8"/>
        <v>36865690.584017344</v>
      </c>
      <c r="K27" s="2">
        <f t="shared" si="8"/>
        <v>40052287.359463491</v>
      </c>
      <c r="L27" s="2">
        <f t="shared" si="8"/>
        <v>43375730.279714093</v>
      </c>
      <c r="M27" s="2">
        <f t="shared" si="8"/>
        <v>46841181.950350061</v>
      </c>
      <c r="N27" s="2">
        <f t="shared" si="8"/>
        <v>50453998.181591168</v>
      </c>
      <c r="O27" s="2">
        <f t="shared" si="8"/>
        <v>54219735.51501663</v>
      </c>
      <c r="P27" s="2">
        <f t="shared" si="8"/>
        <v>58144159.059932977</v>
      </c>
      <c r="Q27" s="2">
        <f t="shared" si="8"/>
        <v>62233250.652769625</v>
      </c>
      <c r="R27" s="2">
        <f t="shared" si="8"/>
        <v>66493217.353481948</v>
      </c>
      <c r="S27" s="2">
        <f t="shared" si="8"/>
        <v>70930500.293568909</v>
      </c>
      <c r="T27" s="2">
        <f t="shared" si="8"/>
        <v>75551783.890967175</v>
      </c>
      <c r="U27" s="2">
        <f t="shared" si="8"/>
        <v>80364005.447770268</v>
      </c>
      <c r="V27" s="2">
        <f t="shared" si="8"/>
        <v>85374365.147437394</v>
      </c>
      <c r="W27" s="2">
        <f t="shared" si="8"/>
        <v>90590336.468907833</v>
      </c>
      <c r="X27" s="2">
        <f t="shared" si="8"/>
        <v>96019677.035820603</v>
      </c>
      <c r="Y27" s="2">
        <f t="shared" si="8"/>
        <v>101670439.91985986</v>
      </c>
      <c r="Z27" s="2">
        <f t="shared" si="8"/>
        <v>107550985.41810566</v>
      </c>
      <c r="AA27" s="2">
        <f t="shared" si="8"/>
        <v>113669993.32516664</v>
      </c>
      <c r="AB27" s="2">
        <f t="shared" si="8"/>
        <v>120036475.72181177</v>
      </c>
      <c r="AC27" s="2">
        <f t="shared" si="8"/>
        <v>126659790.30279946</v>
      </c>
      <c r="AD27" s="2">
        <f t="shared" si="8"/>
        <v>133549654.26763231</v>
      </c>
      <c r="AE27" s="2">
        <f t="shared" si="8"/>
        <v>140716158.79903889</v>
      </c>
      <c r="AF27" s="2">
        <f t="shared" si="8"/>
        <v>148169784.15511125</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3W2DU3RAJ5R2-1900874439-873</_dlc_DocId>
    <_dlc_DocIdUrl xmlns="f54e2983-00ce-40fc-8108-18f351fc47bf">
      <Url>https://dia.cohesion.net.nz/Sites/LGV/TWRP/CAE/_layouts/15/DocIdRedir.aspx?ID=3W2DU3RAJ5R2-1900874439-873</Url>
      <Description>3W2DU3RAJ5R2-1900874439-873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b6d800-2dda-48d6-88d8-9e2b35e6f7ea"/>
    <ds:schemaRef ds:uri="08a23fc5-e034-477c-ac83-93bc1440f322"/>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150202D-5C41-4FE2-BF57-BEDA2202BAC6}"/>
</file>

<file path=customXml/itemProps4.xml><?xml version="1.0" encoding="utf-8"?>
<ds:datastoreItem xmlns:ds="http://schemas.openxmlformats.org/officeDocument/2006/customXml" ds:itemID="{EBC1642C-A467-4AF5-A8D4-9AC41EB97A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2021-07-01T15:14:29Z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244daa8e-6e27-4250-99cb-6e55cb4d5fb2</vt:lpwstr>
  </property>
</Properties>
</file>