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7" documentId="8_{DE962C30-0384-4F09-AE0E-4D232BFA1B50}" xr6:coauthVersionLast="47" xr6:coauthVersionMax="47" xr10:uidLastSave="{9528AB9B-ECF8-4269-BAD6-2E49E6584C37}"/>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<sst xmlns="http://schemas.openxmlformats.org/spreadsheetml/2006/main" count="276" uniqueCount="204">
  <si>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</si>
  <si>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</si>
  <si>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</si>
  <si>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</si>
  <si>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</si>
  <si>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</si>
  <si>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</si>
  <si>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</si>
  <si>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</si>
  <si>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</si>
  <si>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</si>
  <si>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</si>
  <si>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</si>
  <si>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</si>
  <si>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</si>
  <si>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</si>
  <si>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</si>
  <si>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</si>
  <si>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</si>
  <si>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</si>
  <si>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</si>
  <si>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</si>
  <si>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</si>
  <si>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</si>
  <si>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</si>
  <si>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</si>
  <si>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</si>
  <si>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</si>
  <si>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</si>
  <si>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</si>
  <si>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</si>
  <si>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</si>
  <si>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</si>
  <si>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</si>
  <si>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</si>
  <si>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</si>
  <si>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</si>
  <si>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</si>
  <si>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</si>
  <si>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</si>
  <si>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</si>
  <si>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</si>
  <si>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</si>
  <si>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</si>
  <si>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</si>
  <si>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</si>
  <si>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</si>
  <si>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</si>
  <si>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</si>
  <si>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</si>
  <si>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</si>
  <si>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</si>
  <si>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</si>
  <si>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</si>
  <si>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</si>
  <si>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</si>
  <si>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</si>
  <si>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</si>
  <si>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</si>
  <si>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</si>
  <si>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</si>
  <si>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</si>
  <si>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</si>
  <si>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</si>
  <si>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</si>
  <si>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</si>
  <si>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</si>
  <si>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</si>
  <si>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</si>
  <si>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</si>
  <si>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</si>
  <si>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</si>
  <si>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</si>
  <si>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</si>
  <si>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</si>
  <si>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</si>
  <si>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</si>
  <si>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</si>
  <si>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</si>
  <si>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</si>
  <si>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</si>
  <si>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</si>
  <si>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</si>
  <si>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</si>
  <si>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</si>
  <si>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</si>
  <si>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</si>
  <si>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</si>
  <si>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</si>
  <si>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</si>
  <si>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</si>
  <si>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</si>
  <si>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</si>
  <si>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</si>
  <si>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</si>
  <si>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</si>
  <si>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</si>
  <si>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</si>
  <si>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</si>
  <si>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</si>
  <si>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</si>
  <si>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</si>
  <si>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</si>
  <si>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</si>
  <si>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</si>
  <si>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</si>
  <si>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</si>
  <si>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</si>
  <si>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</si>
  <si>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</si>
  <si>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</si>
  <si>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</si>
  <si>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</si>
  <si>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</si>
  <si>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</si>
  <si>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</si>
  <si>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</si>
  <si>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</si>
  <si>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</si>
  <si>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</si>
  <si>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</si>
  <si>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</si>
  <si>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</si>
  <si>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</si>
  <si>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</si>
  <si>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</si>
  <si>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</si>
  <si>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</si>
  <si>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</si>
  <si>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</si>
  <si>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</si>
  <si>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</si>
  <si>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</si>
  <si>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</si>
  <si>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</si>
  <si>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</si>
  <si>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</si>
  <si>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</si>
  <si>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</si>
  <si>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</si>
  <si>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</si>
  <si>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</si>
  <si>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</si>
  <si>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</si>
  <si>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</si>
  <si>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</si>
  <si>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</si>
  <si>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</si>
  <si>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</si>
  <si>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</si>
  <si>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</si>
  <si>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</si>
  <si>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</si>
  <si>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</si>
  <si>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</si>
  <si>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</si>
  <si>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</si>
  <si>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</si>
  <si>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</si>
  <si>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</si>
  <si>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</si>
  <si>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</si>
  <si>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</si>
  <si>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</si>
  <si>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</si>
  <si>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</si>
  <si>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</si>
  <si>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</si>
  <si>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</si>
  <si>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</si>
  <si>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</si>
  <si>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</si>
  <si>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</si>
  <si>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</si>
  <si>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</si>
  <si>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</si>
  <si>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</si>
  <si>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</si>
  <si>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</si>
  <si>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</si>
  <si>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</si>
  <si>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</si>
  <si>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</si>
  <si>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</si>
  <si>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</si>
  <si>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</si>
  <si>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</si>
  <si>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</si>
  <si>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</si>
  <si>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</si>
  <si>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</si>
  <si>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</si>
  <si>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</si>
  <si>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</si>
  <si>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</si>
  <si>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</si>
  <si>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</si>
  <si>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</si>
  <si>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South Waikato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</si>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</sst>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4" borderId="0" xfId="0" applyNumberFormat="1" applyFont="1" applyFill="1" applyAlignment="1">
      <alignment vertical="top" wrapText="1"/>
    </xf>
    <xf numFmtId="0" fontId="18" fillId="0" borderId="0" xfId="0" applyFont="1" applyAlignment="1">
      <alignment horizontal="left" vertical="center" wrapText="1"/>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263175000.00000006</v>
      </c>
      <c r="C6" s="12">
        <f ca="1">B6+Depreciation!C18+'Cash Flow'!C13</f>
        <v>264057850.97062892</v>
      </c>
      <c r="D6" s="1">
        <f ca="1">C6+Depreciation!D18</f>
        <v>288419265.76350141</v>
      </c>
      <c r="E6" s="1">
        <f ca="1">D6+Depreciation!E18</f>
        <v>314034056.66813564</v>
      </c>
      <c r="F6" s="1">
        <f ca="1">E6+Depreciation!F18</f>
        <v>340957493.66693652</v>
      </c>
      <c r="G6" s="1">
        <f ca="1">F6+Depreciation!G18</f>
        <v>369247100.56404436</v>
      </c>
      <c r="H6" s="1">
        <f ca="1">G6+Depreciation!H18</f>
        <v>398962742.63346398</v>
      </c>
      <c r="I6" s="1">
        <f ca="1">H6+Depreciation!I18</f>
        <v>430166717.56876075</v>
      </c>
      <c r="J6" s="1">
        <f ca="1">I6+Depreciation!J18</f>
        <v>462923849.85587174</v>
      </c>
      <c r="K6" s="1">
        <f ca="1">J6+Depreciation!K18</f>
        <v>497301588.69497925</v>
      </c>
      <c r="L6" s="1">
        <f ca="1">K6+Depreciation!L18</f>
        <v>533370109.6019491</v>
      </c>
      <c r="M6" s="1">
        <f ca="1">L6+Depreciation!M18</f>
        <v>571202419.82455325</v>
      </c>
      <c r="N6" s="1">
        <f ca="1">M6+Depreciation!N18</f>
        <v>610874467.71358347</v>
      </c>
      <c r="O6" s="1">
        <f ca="1">N6+Depreciation!O18</f>
        <v>652465256.19402313</v>
      </c>
      <c r="P6" s="1">
        <f ca="1">O6+Depreciation!P18</f>
        <v>696056960.48668408</v>
      </c>
      <c r="Q6" s="1">
        <f ca="1">P6+Depreciation!Q18</f>
        <v>741735050.23614454</v>
      </c>
      <c r="R6" s="1">
        <f ca="1">Q6+Depreciation!R18</f>
        <v>789588416.20644391</v>
      </c>
      <c r="S6" s="1">
        <f ca="1">R6+Depreciation!S18</f>
        <v>839709501.7118125</v>
      </c>
      <c r="T6" s="1">
        <f ca="1">S6+Depreciation!T18</f>
        <v>892194438.95574117</v>
      </c>
      <c r="U6" s="1">
        <f ca="1">T6+Depreciation!U18</f>
        <v>947143190.45794022</v>
      </c>
      <c r="V6" s="1">
        <f ca="1">U6+Depreciation!V18</f>
        <v>1004659695.7552011</v>
      </c>
      <c r="W6" s="1">
        <f ca="1">V6+Depreciation!W18</f>
        <v>1064852023.5688697</v>
      </c>
      <c r="X6" s="1">
        <f ca="1">W6+Depreciation!X18</f>
        <v>1127832529.6385715</v>
      </c>
      <c r="Y6" s="1">
        <f ca="1">X6+Depreciation!Y18</f>
        <v>1193718020.4290116</v>
      </c>
      <c r="Z6" s="1">
        <f ca="1">Y6+Depreciation!Z18</f>
        <v>1262629922.9241018</v>
      </c>
      <c r="AA6" s="1">
        <f ca="1">Z6+Depreciation!AA18</f>
        <v>1334694460.7303705</v>
      </c>
      <c r="AB6" s="1">
        <f ca="1">AA6+Depreciation!AB18</f>
        <v>1410042836.7195778</v>
      </c>
      <c r="AC6" s="1">
        <f ca="1">AB6+Depreciation!AC18</f>
        <v>1488811422.4487183</v>
      </c>
      <c r="AD6" s="1">
        <f ca="1">AC6+Depreciation!AD18</f>
        <v>1571141954.6041348</v>
      </c>
      <c r="AE6" s="1">
        <f ca="1">AD6+Depreciation!AE18</f>
        <v>1657181738.7253225</v>
      </c>
      <c r="AF6" s="1"/>
      <c r="AG6" s="1"/>
      <c r="AH6" s="1"/>
      <c r="AI6" s="1"/>
      <c r="AJ6" s="1"/>
      <c r="AK6" s="1"/>
      <c r="AL6" s="1"/>
      <c r="AM6" s="1"/>
      <c r="AN6" s="1"/>
      <c r="AO6" s="1"/>
      <c r="AP6" s="1"/>
    </row>
    <row r="7" spans="1:42" x14ac:dyDescent="0.35">
      <c r="A7" t="s">
        <v>12</v>
      </c>
      <c r="B7" s="1">
        <f>Depreciation!C12</f>
        <v>136211856.7859605</v>
      </c>
      <c r="C7" s="1">
        <f>Depreciation!D12</f>
        <v>141443312.01851922</v>
      </c>
      <c r="D7" s="1">
        <f>Depreciation!E12</f>
        <v>147315984.6569097</v>
      </c>
      <c r="E7" s="1">
        <f>Depreciation!F12</f>
        <v>153865555.604947</v>
      </c>
      <c r="F7" s="1">
        <f>Depreciation!G12</f>
        <v>161129332.73766679</v>
      </c>
      <c r="G7" s="1">
        <f>Depreciation!H12</f>
        <v>169146318.49023798</v>
      </c>
      <c r="H7" s="1">
        <f>Depreciation!I12</f>
        <v>177957280.10654715</v>
      </c>
      <c r="I7" s="1">
        <f>Depreciation!J12</f>
        <v>187604822.64846289</v>
      </c>
      <c r="J7" s="1">
        <f>Depreciation!K12</f>
        <v>198133464.87052894</v>
      </c>
      <c r="K7" s="1">
        <f>Depreciation!L12</f>
        <v>209589718.068712</v>
      </c>
      <c r="L7" s="1">
        <f>Depreciation!M12</f>
        <v>222022168.0158481</v>
      </c>
      <c r="M7" s="1">
        <f>Depreciation!N12</f>
        <v>235481560.10059538</v>
      </c>
      <c r="N7" s="1">
        <f>Depreciation!O12</f>
        <v>250020887.79101503</v>
      </c>
      <c r="O7" s="1">
        <f>Depreciation!P12</f>
        <v>265695484.54837537</v>
      </c>
      <c r="P7" s="1">
        <f>Depreciation!Q12</f>
        <v>282563119.32140553</v>
      </c>
      <c r="Q7" s="1">
        <f>Depreciation!R12</f>
        <v>300684095.75602889</v>
      </c>
      <c r="R7" s="1">
        <f>Depreciation!S12</f>
        <v>320121355.26057982</v>
      </c>
      <c r="S7" s="1">
        <f>Depreciation!T12</f>
        <v>340940584.07166463</v>
      </c>
      <c r="T7" s="1">
        <f>Depreciation!U12</f>
        <v>363210324.47116882</v>
      </c>
      <c r="U7" s="1">
        <f>Depreciation!V12</f>
        <v>387002090.31044871</v>
      </c>
      <c r="V7" s="1">
        <f>Depreciation!W12</f>
        <v>412390487.00348079</v>
      </c>
      <c r="W7" s="1">
        <f>Depreciation!X12</f>
        <v>439453336.15668583</v>
      </c>
      <c r="X7" s="1">
        <f>Depreciation!Y12</f>
        <v>468271805.00930125</v>
      </c>
      <c r="Y7" s="1">
        <f>Depreciation!Z12</f>
        <v>498930540.86455637</v>
      </c>
      <c r="Z7" s="1">
        <f>Depreciation!AA12</f>
        <v>531517810.69851512</v>
      </c>
      <c r="AA7" s="1">
        <f>Depreciation!AB12</f>
        <v>566125646.1402986</v>
      </c>
      <c r="AB7" s="1">
        <f>Depreciation!AC12</f>
        <v>602849994.02449787</v>
      </c>
      <c r="AC7" s="1">
        <f>Depreciation!AD12</f>
        <v>641790872.72393501</v>
      </c>
      <c r="AD7" s="1">
        <f>Depreciation!AE12</f>
        <v>683052534.47855175</v>
      </c>
      <c r="AE7" s="1">
        <f>Depreciation!AF12</f>
        <v>726743633.94409156</v>
      </c>
      <c r="AF7" s="1"/>
      <c r="AG7" s="1"/>
      <c r="AH7" s="1"/>
      <c r="AI7" s="1"/>
      <c r="AJ7" s="1"/>
      <c r="AK7" s="1"/>
      <c r="AL7" s="1"/>
      <c r="AM7" s="1"/>
      <c r="AN7" s="1"/>
      <c r="AO7" s="1"/>
      <c r="AP7" s="1"/>
    </row>
    <row r="8" spans="1:42" x14ac:dyDescent="0.35">
      <c r="A8" t="s">
        <v>191</v>
      </c>
      <c r="B8" s="1">
        <f t="shared" ref="B8:AE8" si="1">B6-B7</f>
        <v>126963143.21403956</v>
      </c>
      <c r="C8" s="1">
        <f t="shared" ca="1" si="1"/>
        <v>122614538.95210969</v>
      </c>
      <c r="D8" s="1">
        <f ca="1">D6-D7</f>
        <v>141103281.1065917</v>
      </c>
      <c r="E8" s="1">
        <f t="shared" ca="1" si="1"/>
        <v>160168501.06318864</v>
      </c>
      <c r="F8" s="1">
        <f t="shared" ca="1" si="1"/>
        <v>179828160.92926973</v>
      </c>
      <c r="G8" s="1">
        <f t="shared" ca="1" si="1"/>
        <v>200100782.07380638</v>
      </c>
      <c r="H8" s="1">
        <f t="shared" ca="1" si="1"/>
        <v>221005462.52691683</v>
      </c>
      <c r="I8" s="1">
        <f t="shared" ca="1" si="1"/>
        <v>242561894.92029786</v>
      </c>
      <c r="J8" s="1">
        <f t="shared" ca="1" si="1"/>
        <v>264790384.9853428</v>
      </c>
      <c r="K8" s="1">
        <f t="shared" ca="1" si="1"/>
        <v>287711870.62626725</v>
      </c>
      <c r="L8" s="1">
        <f t="shared" ca="1" si="1"/>
        <v>311347941.586101</v>
      </c>
      <c r="M8" s="1">
        <f t="shared" ca="1" si="1"/>
        <v>335720859.7239579</v>
      </c>
      <c r="N8" s="1">
        <f t="shared" ca="1" si="1"/>
        <v>360853579.92256844</v>
      </c>
      <c r="O8" s="1">
        <f t="shared" ca="1" si="1"/>
        <v>386769771.64564776</v>
      </c>
      <c r="P8" s="1">
        <f t="shared" ca="1" si="1"/>
        <v>413493841.16527855</v>
      </c>
      <c r="Q8" s="1">
        <f t="shared" ca="1" si="1"/>
        <v>441050954.48011565</v>
      </c>
      <c r="R8" s="1">
        <f t="shared" ca="1" si="1"/>
        <v>469467060.94586408</v>
      </c>
      <c r="S8" s="1">
        <f t="shared" ca="1" si="1"/>
        <v>498768917.64014786</v>
      </c>
      <c r="T8" s="1">
        <f t="shared" ca="1" si="1"/>
        <v>528984114.48457235</v>
      </c>
      <c r="U8" s="1">
        <f t="shared" ca="1" si="1"/>
        <v>560141100.14749146</v>
      </c>
      <c r="V8" s="1">
        <f t="shared" ca="1" si="1"/>
        <v>592269208.75172031</v>
      </c>
      <c r="W8" s="1">
        <f t="shared" ca="1" si="1"/>
        <v>625398687.41218388</v>
      </c>
      <c r="X8" s="1">
        <f t="shared" ca="1" si="1"/>
        <v>659560724.62927032</v>
      </c>
      <c r="Y8" s="1">
        <f t="shared" ca="1" si="1"/>
        <v>694787479.56445527</v>
      </c>
      <c r="Z8" s="1">
        <f t="shared" ca="1" si="1"/>
        <v>731112112.22558665</v>
      </c>
      <c r="AA8" s="1">
        <f t="shared" ca="1" si="1"/>
        <v>768568814.59007192</v>
      </c>
      <c r="AB8" s="1">
        <f t="shared" ca="1" si="1"/>
        <v>807192842.69507992</v>
      </c>
      <c r="AC8" s="1">
        <f t="shared" ca="1" si="1"/>
        <v>847020549.7247833</v>
      </c>
      <c r="AD8" s="1">
        <f t="shared" ca="1" si="1"/>
        <v>888089420.12558305</v>
      </c>
      <c r="AE8" s="1">
        <f t="shared" ca="1" si="1"/>
        <v>930438104.78123093</v>
      </c>
      <c r="AF8" s="1"/>
      <c r="AG8" s="1"/>
      <c r="AH8" s="1"/>
      <c r="AI8" s="1"/>
      <c r="AJ8" s="1"/>
      <c r="AK8" s="1"/>
      <c r="AL8" s="1"/>
      <c r="AM8" s="1"/>
      <c r="AN8" s="1"/>
      <c r="AO8" s="1"/>
      <c r="AP8" s="1"/>
    </row>
    <row r="10" spans="1:42" x14ac:dyDescent="0.35">
      <c r="A10" t="s">
        <v>17</v>
      </c>
      <c r="B10" s="1">
        <f>B8-B11</f>
        <v>122456143.21403956</v>
      </c>
      <c r="C10" s="1">
        <f ca="1">C8-C11</f>
        <v>95829250.617094204</v>
      </c>
      <c r="D10" s="1">
        <f ca="1">D8-D11</f>
        <v>93193229.845012277</v>
      </c>
      <c r="E10" s="1">
        <f t="shared" ref="E10:AE10" ca="1" si="2">E8-E11</f>
        <v>93658431.558523461</v>
      </c>
      <c r="F10" s="1">
        <f t="shared" ca="1" si="2"/>
        <v>98533390.543914661</v>
      </c>
      <c r="G10" s="1">
        <f ca="1">G8-G11</f>
        <v>107288697.6584323</v>
      </c>
      <c r="H10" s="1">
        <f t="shared" ca="1" si="2"/>
        <v>118628231.33952136</v>
      </c>
      <c r="I10" s="1">
        <f t="shared" ca="1" si="2"/>
        <v>131681872.92624004</v>
      </c>
      <c r="J10" s="1">
        <f t="shared" ca="1" si="2"/>
        <v>145956457.51653194</v>
      </c>
      <c r="K10" s="1">
        <f t="shared" ca="1" si="2"/>
        <v>161211369.93670928</v>
      </c>
      <c r="L10" s="1">
        <f t="shared" ca="1" si="2"/>
        <v>177605342.10150003</v>
      </c>
      <c r="M10" s="1">
        <f t="shared" ca="1" si="2"/>
        <v>194787632.67152673</v>
      </c>
      <c r="N10" s="1">
        <f t="shared" ca="1" si="2"/>
        <v>212866117.29736075</v>
      </c>
      <c r="O10" s="1">
        <f t="shared" ca="1" si="2"/>
        <v>231364952.82526293</v>
      </c>
      <c r="P10" s="1">
        <f t="shared" ca="1" si="2"/>
        <v>250327441.96220315</v>
      </c>
      <c r="Q10" s="1">
        <f t="shared" ca="1" si="2"/>
        <v>269801943.8443433</v>
      </c>
      <c r="R10" s="1">
        <f t="shared" ca="1" si="2"/>
        <v>289842319.03068626</v>
      </c>
      <c r="S10" s="1">
        <f t="shared" ca="1" si="2"/>
        <v>310508407.1760425</v>
      </c>
      <c r="T10" s="1">
        <f t="shared" ca="1" si="2"/>
        <v>331866539.53253156</v>
      </c>
      <c r="U10" s="1">
        <f t="shared" ca="1" si="2"/>
        <v>353990088.56053698</v>
      </c>
      <c r="V10" s="1">
        <f t="shared" ca="1" si="2"/>
        <v>376960057.06943613</v>
      </c>
      <c r="W10" s="1">
        <f t="shared" ca="1" si="2"/>
        <v>400865709.4559558</v>
      </c>
      <c r="X10" s="1">
        <f t="shared" ca="1" si="2"/>
        <v>425805247.76413423</v>
      </c>
      <c r="Y10" s="1">
        <f t="shared" ca="1" si="2"/>
        <v>451886535.4560715</v>
      </c>
      <c r="Z10" s="1">
        <f t="shared" ca="1" si="2"/>
        <v>479227871.95744216</v>
      </c>
      <c r="AA10" s="1">
        <f t="shared" ca="1" si="2"/>
        <v>506864577.66989964</v>
      </c>
      <c r="AB10" s="1">
        <f t="shared" ca="1" si="2"/>
        <v>534795873.20146531</v>
      </c>
      <c r="AC10" s="1">
        <f t="shared" ca="1" si="2"/>
        <v>562427630.14649081</v>
      </c>
      <c r="AD10" s="1">
        <f t="shared" ca="1" si="2"/>
        <v>588090566.34125519</v>
      </c>
      <c r="AE10" s="1">
        <f t="shared" ca="1" si="2"/>
        <v>611556905.6560204</v>
      </c>
      <c r="AF10" s="1"/>
      <c r="AG10" s="1"/>
      <c r="AH10" s="1"/>
      <c r="AI10" s="1"/>
      <c r="AJ10" s="1"/>
      <c r="AK10" s="1"/>
      <c r="AL10" s="1"/>
      <c r="AM10" s="1"/>
      <c r="AN10" s="1"/>
      <c r="AO10" s="1"/>
    </row>
    <row r="11" spans="1:42" x14ac:dyDescent="0.35">
      <c r="A11" t="s">
        <v>9</v>
      </c>
      <c r="B11" s="1">
        <f>Assumptions!$C$20</f>
        <v>4507000</v>
      </c>
      <c r="C11" s="1">
        <f ca="1">'Debt worksheet'!D5</f>
        <v>26785288.335015491</v>
      </c>
      <c r="D11" s="1">
        <f ca="1">'Debt worksheet'!E5</f>
        <v>47910051.261579424</v>
      </c>
      <c r="E11" s="1">
        <f ca="1">'Debt worksheet'!F5</f>
        <v>66510069.504665181</v>
      </c>
      <c r="F11" s="1">
        <f ca="1">'Debt worksheet'!G5</f>
        <v>81294770.38535507</v>
      </c>
      <c r="G11" s="1">
        <f ca="1">'Debt worksheet'!H5</f>
        <v>92812084.41537407</v>
      </c>
      <c r="H11" s="1">
        <f ca="1">'Debt worksheet'!I5</f>
        <v>102377231.18739547</v>
      </c>
      <c r="I11" s="1">
        <f ca="1">'Debt worksheet'!J5</f>
        <v>110880021.99405782</v>
      </c>
      <c r="J11" s="1">
        <f ca="1">'Debt worksheet'!K5</f>
        <v>118833927.46881086</v>
      </c>
      <c r="K11" s="1">
        <f ca="1">'Debt worksheet'!L5</f>
        <v>126500500.68955797</v>
      </c>
      <c r="L11" s="1">
        <f ca="1">'Debt worksheet'!M5</f>
        <v>133742599.48460098</v>
      </c>
      <c r="M11" s="1">
        <f ca="1">'Debt worksheet'!N5</f>
        <v>140933227.05243117</v>
      </c>
      <c r="N11" s="1">
        <f ca="1">'Debt worksheet'!O5</f>
        <v>147987462.62520769</v>
      </c>
      <c r="O11" s="1">
        <f ca="1">'Debt worksheet'!P5</f>
        <v>155404818.82038483</v>
      </c>
      <c r="P11" s="1">
        <f ca="1">'Debt worksheet'!Q5</f>
        <v>163166399.20307541</v>
      </c>
      <c r="Q11" s="1">
        <f ca="1">'Debt worksheet'!R5</f>
        <v>171249010.63577235</v>
      </c>
      <c r="R11" s="1">
        <f ca="1">'Debt worksheet'!S5</f>
        <v>179624741.91517785</v>
      </c>
      <c r="S11" s="1">
        <f ca="1">'Debt worksheet'!T5</f>
        <v>188260510.46410537</v>
      </c>
      <c r="T11" s="1">
        <f ca="1">'Debt worksheet'!U5</f>
        <v>197117574.95204079</v>
      </c>
      <c r="U11" s="1">
        <f ca="1">'Debt worksheet'!V5</f>
        <v>206151011.58695447</v>
      </c>
      <c r="V11" s="1">
        <f ca="1">'Debt worksheet'!W5</f>
        <v>215309151.68228418</v>
      </c>
      <c r="W11" s="1">
        <f ca="1">'Debt worksheet'!X5</f>
        <v>224532977.95622808</v>
      </c>
      <c r="X11" s="1">
        <f ca="1">'Debt worksheet'!Y5</f>
        <v>233755476.86513609</v>
      </c>
      <c r="Y11" s="1">
        <f ca="1">'Debt worksheet'!Z5</f>
        <v>242900944.1083838</v>
      </c>
      <c r="Z11" s="1">
        <f ca="1">'Debt worksheet'!AA5</f>
        <v>251884240.26814452</v>
      </c>
      <c r="AA11" s="1">
        <f ca="1">'Debt worksheet'!AB5</f>
        <v>261704236.92017227</v>
      </c>
      <c r="AB11" s="1">
        <f ca="1">'Debt worksheet'!AC5</f>
        <v>272396969.49361461</v>
      </c>
      <c r="AC11" s="1">
        <f ca="1">'Debt worksheet'!AD5</f>
        <v>284592919.57829249</v>
      </c>
      <c r="AD11" s="1">
        <f ca="1">'Debt worksheet'!AE5</f>
        <v>299998853.78432781</v>
      </c>
      <c r="AE11" s="1">
        <f ca="1">'Debt worksheet'!AF5</f>
        <v>318881199.12521052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-3741505.815331609</v>
      </c>
      <c r="D5" s="4">
        <f ca="1">'Profit and Loss'!D9</f>
        <v>-1994803.3662501667</v>
      </c>
      <c r="E5" s="4">
        <f ca="1">'Profit and Loss'!E9</f>
        <v>1142100.0231580483</v>
      </c>
      <c r="F5" s="4">
        <f ca="1">'Profit and Loss'!F9</f>
        <v>5589165.1700737271</v>
      </c>
      <c r="G5" s="4">
        <f ca="1">'Profit and Loss'!G9</f>
        <v>9508515.7343690433</v>
      </c>
      <c r="H5" s="4">
        <f ca="1">'Profit and Loss'!H9</f>
        <v>12133509.544827064</v>
      </c>
      <c r="I5" s="4">
        <f ca="1">'Profit and Loss'!I9</f>
        <v>13890222.512325253</v>
      </c>
      <c r="J5" s="4">
        <f ca="1">'Profit and Loss'!J9</f>
        <v>15155684.270442184</v>
      </c>
      <c r="K5" s="4">
        <f ca="1">'Profit and Loss'!K9</f>
        <v>16182523.396294357</v>
      </c>
      <c r="L5" s="4">
        <f ca="1">'Profit and Loss'!L9</f>
        <v>17370168.913743787</v>
      </c>
      <c r="M5" s="4">
        <f ca="1">'Profit and Loss'!M9</f>
        <v>18209232.707637779</v>
      </c>
      <c r="N5" s="4">
        <f ca="1">'Profit and Loss'!N9</f>
        <v>19158420.231506415</v>
      </c>
      <c r="O5" s="4">
        <f ca="1">'Profit and Loss'!O9</f>
        <v>19634104.594842851</v>
      </c>
      <c r="P5" s="4">
        <f ca="1">'Profit and Loss'!P9</f>
        <v>20155527.152610071</v>
      </c>
      <c r="Q5" s="4">
        <f ca="1">'Profit and Loss'!Q9</f>
        <v>20727843.543733317</v>
      </c>
      <c r="R5" s="4">
        <f ca="1">'Profit and Loss'!R9</f>
        <v>21356658.256270513</v>
      </c>
      <c r="S5" s="4">
        <f ca="1">'Profit and Loss'!S9</f>
        <v>22048057.451890141</v>
      </c>
      <c r="T5" s="4">
        <f ca="1">'Profit and Loss'!T9</f>
        <v>22808643.944908381</v>
      </c>
      <c r="U5" s="4">
        <f ca="1">'Profit and Loss'!U9</f>
        <v>23645574.467781141</v>
      </c>
      <c r="V5" s="4">
        <f ca="1">'Profit and Loss'!V9</f>
        <v>24566599.362651363</v>
      </c>
      <c r="W5" s="4">
        <f ca="1">'Profit and Loss'!W9</f>
        <v>25580104.846692573</v>
      </c>
      <c r="X5" s="4">
        <f ca="1">'Profit and Loss'!X9</f>
        <v>26695158.007588793</v>
      </c>
      <c r="Y5" s="4">
        <f ca="1">'Profit and Loss'!Y9</f>
        <v>27921554.694576986</v>
      </c>
      <c r="Z5" s="4">
        <f ca="1">'Profit and Loss'!Z9</f>
        <v>29269870.480074387</v>
      </c>
      <c r="AA5" s="4">
        <f ca="1">'Profit and Loss'!AA9</f>
        <v>29657271.320282105</v>
      </c>
      <c r="AB5" s="4">
        <f ca="1">'Profit and Loss'!AB9</f>
        <v>30047807.973981418</v>
      </c>
      <c r="AC5" s="4">
        <f ca="1">'Profit and Loss'!AC9</f>
        <v>29848287.760263398</v>
      </c>
      <c r="AD5" s="4">
        <f ca="1">'Profit and Loss'!AD9</f>
        <v>27983719.249944121</v>
      </c>
      <c r="AE5" s="4">
        <f ca="1">'Profit and Loss'!AE9</f>
        <v>25895777.025688067</v>
      </c>
      <c r="AF5" s="4">
        <f ca="1">'Profit and Loss'!AF9</f>
        <v>23569864.819550939</v>
      </c>
      <c r="AG5" s="4"/>
      <c r="AH5" s="4"/>
      <c r="AI5" s="4"/>
      <c r="AJ5" s="4"/>
      <c r="AK5" s="4"/>
      <c r="AL5" s="4"/>
      <c r="AM5" s="4"/>
      <c r="AN5" s="4"/>
      <c r="AO5" s="4"/>
      <c r="AP5" s="4"/>
    </row>
    <row r="6" spans="1:42" x14ac:dyDescent="0.35">
      <c r="A6" t="s">
        <v>21</v>
      </c>
      <c r="C6" s="4">
        <f>Depreciation!C8+Depreciation!C9</f>
        <v>4624356.7859604657</v>
      </c>
      <c r="D6" s="4">
        <f>Depreciation!D8+Depreciation!D9</f>
        <v>5231455.2325587301</v>
      </c>
      <c r="E6" s="4">
        <f>Depreciation!E8+Depreciation!E9</f>
        <v>5872672.638390461</v>
      </c>
      <c r="F6" s="4">
        <f>Depreciation!F8+Depreciation!F9</f>
        <v>6549570.9480372816</v>
      </c>
      <c r="G6" s="4">
        <f>Depreciation!G8+Depreciation!G9</f>
        <v>7263777.1327197887</v>
      </c>
      <c r="H6" s="4">
        <f>Depreciation!H8+Depreciation!H9</f>
        <v>8016985.7525711842</v>
      </c>
      <c r="I6" s="4">
        <f>Depreciation!I8+Depreciation!I9</f>
        <v>8810961.6163091641</v>
      </c>
      <c r="J6" s="4">
        <f>Depreciation!J8+Depreciation!J9</f>
        <v>9647542.5419157445</v>
      </c>
      <c r="K6" s="4">
        <f>Depreciation!K8+Depreciation!K9</f>
        <v>10528642.222066045</v>
      </c>
      <c r="L6" s="4">
        <f>Depreciation!L8+Depreciation!L9</f>
        <v>11456253.198183039</v>
      </c>
      <c r="M6" s="4">
        <f>Depreciation!M8+Depreciation!M9</f>
        <v>12432449.947136126</v>
      </c>
      <c r="N6" s="4">
        <f>Depreciation!N8+Depreciation!N9</f>
        <v>13459392.084747275</v>
      </c>
      <c r="O6" s="4">
        <f>Depreciation!O8+Depreciation!O9</f>
        <v>14539327.69041967</v>
      </c>
      <c r="P6" s="4">
        <f>Depreciation!P8+Depreciation!P9</f>
        <v>15674596.757360313</v>
      </c>
      <c r="Q6" s="4">
        <f>Depreciation!Q8+Depreciation!Q9</f>
        <v>16867634.773030166</v>
      </c>
      <c r="R6" s="4">
        <f>Depreciation!R8+Depreciation!R9</f>
        <v>18120976.434623361</v>
      </c>
      <c r="S6" s="4">
        <f>Depreciation!S8+Depreciation!S9</f>
        <v>19437259.50455093</v>
      </c>
      <c r="T6" s="4">
        <f>Depreciation!T8+Depreciation!T9</f>
        <v>20819228.811084807</v>
      </c>
      <c r="U6" s="4">
        <f>Depreciation!U8+Depreciation!U9</f>
        <v>22269740.399504196</v>
      </c>
      <c r="V6" s="4">
        <f>Depreciation!V8+Depreciation!V9</f>
        <v>23791765.839279875</v>
      </c>
      <c r="W6" s="4">
        <f>Depreciation!W8+Depreciation!W9</f>
        <v>25388396.693032108</v>
      </c>
      <c r="X6" s="4">
        <f>Depreciation!X8+Depreciation!X9</f>
        <v>27062849.153205056</v>
      </c>
      <c r="Y6" s="4">
        <f>Depreciation!Y8+Depreciation!Y9</f>
        <v>28818468.852615405</v>
      </c>
      <c r="Z6" s="4">
        <f>Depreciation!Z8+Depreciation!Z9</f>
        <v>30658735.855255142</v>
      </c>
      <c r="AA6" s="4">
        <f>Depreciation!AA8+Depreciation!AA9</f>
        <v>32587269.833958745</v>
      </c>
      <c r="AB6" s="4">
        <f>Depreciation!AB8+Depreciation!AB9</f>
        <v>34607835.441783592</v>
      </c>
      <c r="AC6" s="4">
        <f>Depreciation!AC8+Depreciation!AC9</f>
        <v>36724347.884199247</v>
      </c>
      <c r="AD6" s="4">
        <f>Depreciation!AD8+Depreciation!AD9</f>
        <v>38940878.699437141</v>
      </c>
      <c r="AE6" s="4">
        <f>Depreciation!AE8+Depreciation!AE9</f>
        <v>41261661.754616819</v>
      </c>
      <c r="AF6" s="4">
        <f>Depreciation!AF8+Depreciation!AF9</f>
        <v>43691099.465539783</v>
      </c>
      <c r="AG6" s="4"/>
      <c r="AH6" s="4"/>
      <c r="AI6" s="4"/>
      <c r="AJ6" s="4"/>
      <c r="AK6" s="4"/>
      <c r="AL6" s="4"/>
      <c r="AM6" s="4"/>
      <c r="AN6" s="4"/>
      <c r="AO6" s="4"/>
      <c r="AP6" s="4"/>
    </row>
    <row r="7" spans="1:42" x14ac:dyDescent="0.35">
      <c r="A7" t="s">
        <v>23</v>
      </c>
      <c r="C7" s="4">
        <f ca="1">C6+C5</f>
        <v>882850.97062885668</v>
      </c>
      <c r="D7" s="4">
        <f ca="1">D6+D5</f>
        <v>3236651.8663085634</v>
      </c>
      <c r="E7" s="4">
        <f t="shared" ref="E7:AF7" ca="1" si="1">E6+E5</f>
        <v>7014772.6615485093</v>
      </c>
      <c r="F7" s="4">
        <f t="shared" ca="1" si="1"/>
        <v>12138736.118111009</v>
      </c>
      <c r="G7" s="4">
        <f ca="1">G6+G5</f>
        <v>16772292.867088832</v>
      </c>
      <c r="H7" s="4">
        <f t="shared" ca="1" si="1"/>
        <v>20150495.297398247</v>
      </c>
      <c r="I7" s="4">
        <f t="shared" ca="1" si="1"/>
        <v>22701184.128634416</v>
      </c>
      <c r="J7" s="4">
        <f t="shared" ca="1" si="1"/>
        <v>24803226.812357929</v>
      </c>
      <c r="K7" s="4">
        <f t="shared" ca="1" si="1"/>
        <v>26711165.6183604</v>
      </c>
      <c r="L7" s="4">
        <f t="shared" ca="1" si="1"/>
        <v>28826422.111926824</v>
      </c>
      <c r="M7" s="4">
        <f t="shared" ca="1" si="1"/>
        <v>30641682.654773906</v>
      </c>
      <c r="N7" s="4">
        <f t="shared" ca="1" si="1"/>
        <v>32617812.316253692</v>
      </c>
      <c r="O7" s="4">
        <f t="shared" ca="1" si="1"/>
        <v>34173432.285262525</v>
      </c>
      <c r="P7" s="4">
        <f t="shared" ca="1" si="1"/>
        <v>35830123.909970388</v>
      </c>
      <c r="Q7" s="4">
        <f t="shared" ca="1" si="1"/>
        <v>37595478.316763483</v>
      </c>
      <c r="R7" s="4">
        <f t="shared" ca="1" si="1"/>
        <v>39477634.690893874</v>
      </c>
      <c r="S7" s="4">
        <f t="shared" ca="1" si="1"/>
        <v>41485316.956441075</v>
      </c>
      <c r="T7" s="4">
        <f t="shared" ca="1" si="1"/>
        <v>43627872.755993187</v>
      </c>
      <c r="U7" s="4">
        <f t="shared" ca="1" si="1"/>
        <v>45915314.867285341</v>
      </c>
      <c r="V7" s="4">
        <f t="shared" ca="1" si="1"/>
        <v>48358365.201931238</v>
      </c>
      <c r="W7" s="4">
        <f t="shared" ca="1" si="1"/>
        <v>50968501.539724678</v>
      </c>
      <c r="X7" s="4">
        <f t="shared" ca="1" si="1"/>
        <v>53758007.160793848</v>
      </c>
      <c r="Y7" s="4">
        <f t="shared" ca="1" si="1"/>
        <v>56740023.547192395</v>
      </c>
      <c r="Z7" s="4">
        <f t="shared" ca="1" si="1"/>
        <v>59928606.335329533</v>
      </c>
      <c r="AA7" s="4">
        <f t="shared" ca="1" si="1"/>
        <v>62244541.154240847</v>
      </c>
      <c r="AB7" s="4">
        <f t="shared" ca="1" si="1"/>
        <v>64655643.41576501</v>
      </c>
      <c r="AC7" s="4">
        <f t="shared" ca="1" si="1"/>
        <v>66572635.644462645</v>
      </c>
      <c r="AD7" s="4">
        <f t="shared" ca="1" si="1"/>
        <v>66924597.949381262</v>
      </c>
      <c r="AE7" s="4">
        <f t="shared" ca="1" si="1"/>
        <v>67157438.780304879</v>
      </c>
      <c r="AF7" s="4">
        <f t="shared" ca="1" si="1"/>
        <v>67260964.285090715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23161139.305644348</v>
      </c>
      <c r="D10" s="9">
        <f>Investment!D25</f>
        <v>24361414.792872496</v>
      </c>
      <c r="E10" s="9">
        <f>Investment!E25</f>
        <v>25614790.904634267</v>
      </c>
      <c r="F10" s="9">
        <f>Investment!F25</f>
        <v>26923436.998800892</v>
      </c>
      <c r="G10" s="9">
        <f>Investment!G25</f>
        <v>28289606.897107836</v>
      </c>
      <c r="H10" s="9">
        <f>Investment!H25</f>
        <v>29715642.069419645</v>
      </c>
      <c r="I10" s="9">
        <f>Investment!I25</f>
        <v>31203974.93529677</v>
      </c>
      <c r="J10" s="9">
        <f>Investment!J25</f>
        <v>32757132.287110962</v>
      </c>
      <c r="K10" s="9">
        <f>Investment!K25</f>
        <v>34377738.839107513</v>
      </c>
      <c r="L10" s="9">
        <f>Investment!L25</f>
        <v>36068520.90696983</v>
      </c>
      <c r="M10" s="9">
        <f>Investment!M25</f>
        <v>37832310.222604096</v>
      </c>
      <c r="N10" s="9">
        <f>Investment!N25</f>
        <v>39672047.889030218</v>
      </c>
      <c r="O10" s="9">
        <f>Investment!O25</f>
        <v>41590788.480439663</v>
      </c>
      <c r="P10" s="9">
        <f>Investment!P25</f>
        <v>43591704.292660952</v>
      </c>
      <c r="Q10" s="9">
        <f>Investment!Q25</f>
        <v>45678089.749460414</v>
      </c>
      <c r="R10" s="9">
        <f>Investment!R25</f>
        <v>47853365.970299385</v>
      </c>
      <c r="S10" s="9">
        <f>Investment!S25</f>
        <v>50121085.50536859</v>
      </c>
      <c r="T10" s="9">
        <f>Investment!T25</f>
        <v>52484937.243928626</v>
      </c>
      <c r="U10" s="9">
        <f>Investment!U25</f>
        <v>54948751.502199017</v>
      </c>
      <c r="V10" s="9">
        <f>Investment!V25</f>
        <v>57516505.297260933</v>
      </c>
      <c r="W10" s="9">
        <f>Investment!W25</f>
        <v>60192327.813668564</v>
      </c>
      <c r="X10" s="9">
        <f>Investment!X25</f>
        <v>62980506.069701873</v>
      </c>
      <c r="Y10" s="9">
        <f>Investment!Y25</f>
        <v>65885490.790440112</v>
      </c>
      <c r="Z10" s="9">
        <f>Investment!Z25</f>
        <v>68911902.495090246</v>
      </c>
      <c r="AA10" s="9">
        <f>Investment!AA25</f>
        <v>72064537.806268588</v>
      </c>
      <c r="AB10" s="9">
        <f>Investment!AB25</f>
        <v>75348375.989207327</v>
      </c>
      <c r="AC10" s="9">
        <f>Investment!AC25</f>
        <v>78768585.72914055</v>
      </c>
      <c r="AD10" s="9">
        <f>Investment!AD25</f>
        <v>82330532.155416563</v>
      </c>
      <c r="AE10" s="9">
        <f>Investment!AE25</f>
        <v>86039784.121187583</v>
      </c>
      <c r="AF10" s="9">
        <f>Investment!AF25</f>
        <v>89902121.747840807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-22278288.335015491</v>
      </c>
      <c r="D12" s="1">
        <f t="shared" ref="D12:AF12" ca="1" si="2">D7-D9-D10</f>
        <v>-21124762.926563933</v>
      </c>
      <c r="E12" s="1">
        <f ca="1">E7-E9-E10</f>
        <v>-18600018.243085757</v>
      </c>
      <c r="F12" s="1">
        <f t="shared" ca="1" si="2"/>
        <v>-14784700.880689884</v>
      </c>
      <c r="G12" s="1">
        <f ca="1">G7-G9-G10</f>
        <v>-11517314.030019004</v>
      </c>
      <c r="H12" s="1">
        <f t="shared" ca="1" si="2"/>
        <v>-9565146.7720213979</v>
      </c>
      <c r="I12" s="1">
        <f t="shared" ca="1" si="2"/>
        <v>-8502790.8066623546</v>
      </c>
      <c r="J12" s="1">
        <f t="shared" ca="1" si="2"/>
        <v>-7953905.4747530334</v>
      </c>
      <c r="K12" s="1">
        <f t="shared" ca="1" si="2"/>
        <v>-7666573.2207471132</v>
      </c>
      <c r="L12" s="1">
        <f t="shared" ca="1" si="2"/>
        <v>-7242098.7950430065</v>
      </c>
      <c r="M12" s="1">
        <f t="shared" ca="1" si="2"/>
        <v>-7190627.5678301901</v>
      </c>
      <c r="N12" s="1">
        <f t="shared" ca="1" si="2"/>
        <v>-7054235.5727765262</v>
      </c>
      <c r="O12" s="1">
        <f t="shared" ca="1" si="2"/>
        <v>-7417356.1951771379</v>
      </c>
      <c r="P12" s="1">
        <f t="shared" ca="1" si="2"/>
        <v>-7761580.3826905638</v>
      </c>
      <c r="Q12" s="1">
        <f t="shared" ca="1" si="2"/>
        <v>-8082611.4326969311</v>
      </c>
      <c r="R12" s="1">
        <f t="shared" ca="1" si="2"/>
        <v>-8375731.2794055119</v>
      </c>
      <c r="S12" s="1">
        <f t="shared" ca="1" si="2"/>
        <v>-8635768.5489275157</v>
      </c>
      <c r="T12" s="1">
        <f t="shared" ca="1" si="2"/>
        <v>-8857064.4879354388</v>
      </c>
      <c r="U12" s="1">
        <f t="shared" ca="1" si="2"/>
        <v>-9033436.6349136755</v>
      </c>
      <c r="V12" s="1">
        <f t="shared" ca="1" si="2"/>
        <v>-9158140.0953296944</v>
      </c>
      <c r="W12" s="1">
        <f t="shared" ca="1" si="2"/>
        <v>-9223826.2739438862</v>
      </c>
      <c r="X12" s="1">
        <f t="shared" ca="1" si="2"/>
        <v>-9222498.9089080244</v>
      </c>
      <c r="Y12" s="1">
        <f t="shared" ca="1" si="2"/>
        <v>-9145467.2432477176</v>
      </c>
      <c r="Z12" s="1">
        <f t="shared" ca="1" si="2"/>
        <v>-8983296.1597607136</v>
      </c>
      <c r="AA12" s="1">
        <f t="shared" ca="1" si="2"/>
        <v>-9819996.6520277411</v>
      </c>
      <c r="AB12" s="1">
        <f t="shared" ca="1" si="2"/>
        <v>-10692732.573442318</v>
      </c>
      <c r="AC12" s="1">
        <f t="shared" ca="1" si="2"/>
        <v>-12195950.084677905</v>
      </c>
      <c r="AD12" s="1">
        <f t="shared" ca="1" si="2"/>
        <v>-15405934.206035301</v>
      </c>
      <c r="AE12" s="1">
        <f t="shared" ca="1" si="2"/>
        <v>-18882345.340882704</v>
      </c>
      <c r="AF12" s="1">
        <f t="shared" ca="1" si="2"/>
        <v>-22641157.462750092</v>
      </c>
      <c r="AG12" s="1"/>
      <c r="AH12" s="1"/>
      <c r="AI12" s="1"/>
      <c r="AJ12" s="1"/>
      <c r="AK12" s="1"/>
      <c r="AL12" s="1"/>
      <c r="AM12" s="1"/>
      <c r="AN12" s="1"/>
      <c r="AO12" s="1"/>
      <c r="AP12" s="1"/>
    </row>
    <row r="13" spans="1:42" x14ac:dyDescent="0.35">
      <c r="A13" t="s">
        <v>19</v>
      </c>
      <c r="C13" s="1">
        <f ca="1">C12</f>
        <v>-22278288.335015491</v>
      </c>
      <c r="D13" s="1">
        <f ca="1">D12</f>
        <v>-21124762.926563933</v>
      </c>
      <c r="E13" s="1">
        <f ca="1">E12</f>
        <v>-18600018.243085757</v>
      </c>
      <c r="F13" s="1">
        <f t="shared" ref="F13:AF13" ca="1" si="3">F12</f>
        <v>-14784700.880689884</v>
      </c>
      <c r="G13" s="1">
        <f ca="1">G12</f>
        <v>-11517314.030019004</v>
      </c>
      <c r="H13" s="1">
        <f t="shared" ca="1" si="3"/>
        <v>-9565146.7720213979</v>
      </c>
      <c r="I13" s="1">
        <f t="shared" ca="1" si="3"/>
        <v>-8502790.8066623546</v>
      </c>
      <c r="J13" s="1">
        <f t="shared" ca="1" si="3"/>
        <v>-7953905.4747530334</v>
      </c>
      <c r="K13" s="1">
        <f t="shared" ca="1" si="3"/>
        <v>-7666573.2207471132</v>
      </c>
      <c r="L13" s="1">
        <f t="shared" ca="1" si="3"/>
        <v>-7242098.7950430065</v>
      </c>
      <c r="M13" s="1">
        <f t="shared" ca="1" si="3"/>
        <v>-7190627.5678301901</v>
      </c>
      <c r="N13" s="1">
        <f t="shared" ca="1" si="3"/>
        <v>-7054235.5727765262</v>
      </c>
      <c r="O13" s="1">
        <f t="shared" ca="1" si="3"/>
        <v>-7417356.1951771379</v>
      </c>
      <c r="P13" s="1">
        <f t="shared" ca="1" si="3"/>
        <v>-7761580.3826905638</v>
      </c>
      <c r="Q13" s="1">
        <f t="shared" ca="1" si="3"/>
        <v>-8082611.4326969311</v>
      </c>
      <c r="R13" s="1">
        <f t="shared" ca="1" si="3"/>
        <v>-8375731.2794055119</v>
      </c>
      <c r="S13" s="1">
        <f t="shared" ca="1" si="3"/>
        <v>-8635768.5489275157</v>
      </c>
      <c r="T13" s="1">
        <f t="shared" ca="1" si="3"/>
        <v>-8857064.4879354388</v>
      </c>
      <c r="U13" s="1">
        <f t="shared" ca="1" si="3"/>
        <v>-9033436.6349136755</v>
      </c>
      <c r="V13" s="1">
        <f t="shared" ca="1" si="3"/>
        <v>-9158140.0953296944</v>
      </c>
      <c r="W13" s="1">
        <f t="shared" ca="1" si="3"/>
        <v>-9223826.2739438862</v>
      </c>
      <c r="X13" s="1">
        <f t="shared" ca="1" si="3"/>
        <v>-9222498.9089080244</v>
      </c>
      <c r="Y13" s="1">
        <f t="shared" ca="1" si="3"/>
        <v>-9145467.2432477176</v>
      </c>
      <c r="Z13" s="1">
        <f t="shared" ca="1" si="3"/>
        <v>-8983296.1597607136</v>
      </c>
      <c r="AA13" s="1">
        <f t="shared" ca="1" si="3"/>
        <v>-9819996.6520277411</v>
      </c>
      <c r="AB13" s="1">
        <f t="shared" ca="1" si="3"/>
        <v>-10692732.573442318</v>
      </c>
      <c r="AC13" s="1">
        <f t="shared" ca="1" si="3"/>
        <v>-12195950.084677905</v>
      </c>
      <c r="AD13" s="1">
        <f t="shared" ca="1" si="3"/>
        <v>-15405934.206035301</v>
      </c>
      <c r="AE13" s="1">
        <f t="shared" ca="1" si="3"/>
        <v>-18882345.340882704</v>
      </c>
      <c r="AF13" s="1">
        <f t="shared" ca="1" si="3"/>
        <v>-22641157.462750092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263175000.00000006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131587500.00000003</v>
      </c>
      <c r="D7" s="9">
        <f>C12</f>
        <v>136211856.7859605</v>
      </c>
      <c r="E7" s="9">
        <f>D12</f>
        <v>141443312.01851922</v>
      </c>
      <c r="F7" s="9">
        <f t="shared" ref="F7:H7" si="1">E12</f>
        <v>147315984.6569097</v>
      </c>
      <c r="G7" s="9">
        <f t="shared" si="1"/>
        <v>153865555.604947</v>
      </c>
      <c r="H7" s="9">
        <f t="shared" si="1"/>
        <v>161129332.73766679</v>
      </c>
      <c r="I7" s="9">
        <f t="shared" ref="I7" si="2">H12</f>
        <v>169146318.49023798</v>
      </c>
      <c r="J7" s="9">
        <f t="shared" ref="J7" si="3">I12</f>
        <v>177957280.10654715</v>
      </c>
      <c r="K7" s="9">
        <f t="shared" ref="K7" si="4">J12</f>
        <v>187604822.64846289</v>
      </c>
      <c r="L7" s="9">
        <f t="shared" ref="L7" si="5">K12</f>
        <v>198133464.87052894</v>
      </c>
      <c r="M7" s="9">
        <f t="shared" ref="M7" si="6">L12</f>
        <v>209589718.068712</v>
      </c>
      <c r="N7" s="9">
        <f t="shared" ref="N7" si="7">M12</f>
        <v>222022168.0158481</v>
      </c>
      <c r="O7" s="9">
        <f t="shared" ref="O7" si="8">N12</f>
        <v>235481560.10059538</v>
      </c>
      <c r="P7" s="9">
        <f t="shared" ref="P7" si="9">O12</f>
        <v>250020887.79101503</v>
      </c>
      <c r="Q7" s="9">
        <f t="shared" ref="Q7" si="10">P12</f>
        <v>265695484.54837537</v>
      </c>
      <c r="R7" s="9">
        <f t="shared" ref="R7" si="11">Q12</f>
        <v>282563119.32140553</v>
      </c>
      <c r="S7" s="9">
        <f t="shared" ref="S7" si="12">R12</f>
        <v>300684095.75602889</v>
      </c>
      <c r="T7" s="9">
        <f t="shared" ref="T7" si="13">S12</f>
        <v>320121355.26057982</v>
      </c>
      <c r="U7" s="9">
        <f t="shared" ref="U7" si="14">T12</f>
        <v>340940584.07166463</v>
      </c>
      <c r="V7" s="9">
        <f t="shared" ref="V7" si="15">U12</f>
        <v>363210324.47116882</v>
      </c>
      <c r="W7" s="9">
        <f t="shared" ref="W7" si="16">V12</f>
        <v>387002090.31044871</v>
      </c>
      <c r="X7" s="9">
        <f t="shared" ref="X7" si="17">W12</f>
        <v>412390487.00348079</v>
      </c>
      <c r="Y7" s="9">
        <f t="shared" ref="Y7" si="18">X12</f>
        <v>439453336.15668583</v>
      </c>
      <c r="Z7" s="9">
        <f t="shared" ref="Z7" si="19">Y12</f>
        <v>468271805.00930125</v>
      </c>
      <c r="AA7" s="9">
        <f t="shared" ref="AA7" si="20">Z12</f>
        <v>498930540.86455637</v>
      </c>
      <c r="AB7" s="9">
        <f t="shared" ref="AB7" si="21">AA12</f>
        <v>531517810.69851512</v>
      </c>
      <c r="AC7" s="9">
        <f t="shared" ref="AC7" si="22">AB12</f>
        <v>566125646.1402986</v>
      </c>
      <c r="AD7" s="9">
        <f t="shared" ref="AD7" si="23">AC12</f>
        <v>602849994.02449787</v>
      </c>
      <c r="AE7" s="9">
        <f t="shared" ref="AE7" si="24">AD12</f>
        <v>641790872.72393501</v>
      </c>
      <c r="AF7" s="9">
        <f t="shared" ref="AF7" si="25">AE12</f>
        <v>683052534.47855175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4179474.005488052</v>
      </c>
      <c r="D8" s="9">
        <f>Assumptions!E111*Assumptions!E11</f>
        <v>4313217.1736636693</v>
      </c>
      <c r="E8" s="9">
        <f>Assumptions!F111*Assumptions!F11</f>
        <v>4451240.1232209066</v>
      </c>
      <c r="F8" s="9">
        <f>Assumptions!G111*Assumptions!G11</f>
        <v>4593679.8071639752</v>
      </c>
      <c r="G8" s="9">
        <f>Assumptions!H111*Assumptions!H11</f>
        <v>4740677.5609932235</v>
      </c>
      <c r="H8" s="9">
        <f>Assumptions!I111*Assumptions!I11</f>
        <v>4892379.2429450061</v>
      </c>
      <c r="I8" s="9">
        <f>Assumptions!J111*Assumptions!J11</f>
        <v>5048935.3787192451</v>
      </c>
      <c r="J8" s="9">
        <f>Assumptions!K111*Assumptions!K11</f>
        <v>5210501.3108382616</v>
      </c>
      <c r="K8" s="9">
        <f>Assumptions!L111*Assumptions!L11</f>
        <v>5377237.3527850872</v>
      </c>
      <c r="L8" s="9">
        <f>Assumptions!M111*Assumptions!M11</f>
        <v>5549308.9480742086</v>
      </c>
      <c r="M8" s="9">
        <f>Assumptions!N111*Assumptions!N11</f>
        <v>5726886.8344125831</v>
      </c>
      <c r="N8" s="9">
        <f>Assumptions!O111*Assumptions!O11</f>
        <v>5910147.2131137867</v>
      </c>
      <c r="O8" s="9">
        <f>Assumptions!P111*Assumptions!P11</f>
        <v>6099271.9239334278</v>
      </c>
      <c r="P8" s="9">
        <f>Assumptions!Q111*Assumptions!Q11</f>
        <v>6294448.6254992969</v>
      </c>
      <c r="Q8" s="9">
        <f>Assumptions!R111*Assumptions!R11</f>
        <v>6495870.9815152735</v>
      </c>
      <c r="R8" s="9">
        <f>Assumptions!S111*Assumptions!S11</f>
        <v>6703738.852923763</v>
      </c>
      <c r="S8" s="9">
        <f>Assumptions!T111*Assumptions!T11</f>
        <v>6918258.4962173244</v>
      </c>
      <c r="T8" s="9">
        <f>Assumptions!U111*Assumptions!U11</f>
        <v>7139642.7680962775</v>
      </c>
      <c r="U8" s="9">
        <f>Assumptions!V111*Assumptions!V11</f>
        <v>7368111.336675358</v>
      </c>
      <c r="V8" s="9">
        <f>Assumptions!W111*Assumptions!W11</f>
        <v>7603890.8994489703</v>
      </c>
      <c r="W8" s="9">
        <f>Assumptions!X111*Assumptions!X11</f>
        <v>7847215.4082313385</v>
      </c>
      <c r="X8" s="9">
        <f>Assumptions!Y111*Assumptions!Y11</f>
        <v>8098326.3012947403</v>
      </c>
      <c r="Y8" s="9">
        <f>Assumptions!Z111*Assumptions!Z11</f>
        <v>8357472.7429361707</v>
      </c>
      <c r="Z8" s="9">
        <f>Assumptions!AA111*Assumptions!AA11</f>
        <v>8624911.8707101289</v>
      </c>
      <c r="AA8" s="9">
        <f>Assumptions!AB111*Assumptions!AB11</f>
        <v>8900909.0505728554</v>
      </c>
      <c r="AB8" s="9">
        <f>Assumptions!AC111*Assumptions!AC11</f>
        <v>9185738.1401911844</v>
      </c>
      <c r="AC8" s="9">
        <f>Assumptions!AD111*Assumptions!AD11</f>
        <v>9479681.7606773004</v>
      </c>
      <c r="AD8" s="9">
        <f>Assumptions!AE111*Assumptions!AE11</f>
        <v>9783031.5770189762</v>
      </c>
      <c r="AE8" s="9">
        <f>Assumptions!AF111*Assumptions!AF11</f>
        <v>10096088.587483583</v>
      </c>
      <c r="AF8" s="9">
        <f>Assumptions!AG111*Assumptions!AG11</f>
        <v>10419163.422283057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444882.78047241323</v>
      </c>
      <c r="D9" s="9">
        <f>Assumptions!E120*Assumptions!E11</f>
        <v>918238.05889506079</v>
      </c>
      <c r="E9" s="9">
        <f>Assumptions!F120*Assumptions!F11</f>
        <v>1421432.5151695542</v>
      </c>
      <c r="F9" s="9">
        <f>Assumptions!G120*Assumptions!G11</f>
        <v>1955891.1408733064</v>
      </c>
      <c r="G9" s="9">
        <f>Assumptions!H120*Assumptions!H11</f>
        <v>2523099.5717265657</v>
      </c>
      <c r="H9" s="9">
        <f>Assumptions!I120*Assumptions!I11</f>
        <v>3124606.5096261785</v>
      </c>
      <c r="I9" s="9">
        <f>Assumptions!J120*Assumptions!J11</f>
        <v>3762026.2375899195</v>
      </c>
      <c r="J9" s="9">
        <f>Assumptions!K120*Assumptions!K11</f>
        <v>4437041.2310774829</v>
      </c>
      <c r="K9" s="9">
        <f>Assumptions!L120*Assumptions!L11</f>
        <v>5151404.8692809576</v>
      </c>
      <c r="L9" s="9">
        <f>Assumptions!M120*Assumptions!M11</f>
        <v>5906944.2501088306</v>
      </c>
      <c r="M9" s="9">
        <f>Assumptions!N120*Assumptions!N11</f>
        <v>6705563.1127235442</v>
      </c>
      <c r="N9" s="9">
        <f>Assumptions!O120*Assumptions!O11</f>
        <v>7549244.8716334887</v>
      </c>
      <c r="O9" s="9">
        <f>Assumptions!P120*Assumptions!P11</f>
        <v>8440055.7664862424</v>
      </c>
      <c r="P9" s="9">
        <f>Assumptions!Q120*Assumptions!Q11</f>
        <v>9380148.1318610162</v>
      </c>
      <c r="Q9" s="9">
        <f>Assumptions!R120*Assumptions!R11</f>
        <v>10371763.791514892</v>
      </c>
      <c r="R9" s="9">
        <f>Assumptions!S120*Assumptions!S11</f>
        <v>11417237.581699597</v>
      </c>
      <c r="S9" s="9">
        <f>Assumptions!T120*Assumptions!T11</f>
        <v>12519001.008333607</v>
      </c>
      <c r="T9" s="9">
        <f>Assumptions!U120*Assumptions!U11</f>
        <v>13679586.042988529</v>
      </c>
      <c r="U9" s="9">
        <f>Assumptions!V120*Assumptions!V11</f>
        <v>14901629.062828837</v>
      </c>
      <c r="V9" s="9">
        <f>Assumptions!W120*Assumptions!W11</f>
        <v>16187874.939830907</v>
      </c>
      <c r="W9" s="9">
        <f>Assumptions!X120*Assumptions!X11</f>
        <v>17541181.284800772</v>
      </c>
      <c r="X9" s="9">
        <f>Assumptions!Y120*Assumptions!Y11</f>
        <v>18964522.851910315</v>
      </c>
      <c r="Y9" s="9">
        <f>Assumptions!Z120*Assumptions!Z11</f>
        <v>20460996.109679233</v>
      </c>
      <c r="Z9" s="9">
        <f>Assumptions!AA120*Assumptions!AA11</f>
        <v>22033823.984545015</v>
      </c>
      <c r="AA9" s="9">
        <f>Assumptions!AB120*Assumptions!AB11</f>
        <v>23686360.783385891</v>
      </c>
      <c r="AB9" s="9">
        <f>Assumptions!AC120*Assumptions!AC11</f>
        <v>25422097.301592406</v>
      </c>
      <c r="AC9" s="9">
        <f>Assumptions!AD120*Assumptions!AD11</f>
        <v>27244666.123521946</v>
      </c>
      <c r="AD9" s="9">
        <f>Assumptions!AE120*Assumptions!AE11</f>
        <v>29157847.122418165</v>
      </c>
      <c r="AE9" s="9">
        <f>Assumptions!AF120*Assumptions!AF11</f>
        <v>31165573.167133234</v>
      </c>
      <c r="AF9" s="9">
        <f>Assumptions!AG120*Assumptions!AG11</f>
        <v>33271936.043256726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4624356.7859604657</v>
      </c>
      <c r="D10" s="9">
        <f>SUM($C$8:D9)</f>
        <v>9855812.0185191948</v>
      </c>
      <c r="E10" s="9">
        <f>SUM($C$8:E9)</f>
        <v>15728484.656909654</v>
      </c>
      <c r="F10" s="9">
        <f>SUM($C$8:F9)</f>
        <v>22278055.604946934</v>
      </c>
      <c r="G10" s="9">
        <f>SUM($C$8:G9)</f>
        <v>29541832.737666722</v>
      </c>
      <c r="H10" s="9">
        <f>SUM($C$8:H9)</f>
        <v>37558818.490237914</v>
      </c>
      <c r="I10" s="9">
        <f>SUM($C$8:I9)</f>
        <v>46369780.10654708</v>
      </c>
      <c r="J10" s="9">
        <f>SUM($C$8:J9)</f>
        <v>56017322.648462825</v>
      </c>
      <c r="K10" s="9">
        <f>SUM($C$8:K9)</f>
        <v>66545964.870528869</v>
      </c>
      <c r="L10" s="9">
        <f>SUM($C$8:L9)</f>
        <v>78002218.068711907</v>
      </c>
      <c r="M10" s="9">
        <f>SUM($C$8:M9)</f>
        <v>90434668.015848026</v>
      </c>
      <c r="N10" s="9">
        <f>SUM($C$8:N9)</f>
        <v>103894060.1005953</v>
      </c>
      <c r="O10" s="9">
        <f>SUM($C$8:O9)</f>
        <v>118433387.79101498</v>
      </c>
      <c r="P10" s="9">
        <f>SUM($C$8:P9)</f>
        <v>134107984.54837531</v>
      </c>
      <c r="Q10" s="9">
        <f>SUM($C$8:Q9)</f>
        <v>150975619.32140547</v>
      </c>
      <c r="R10" s="9">
        <f>SUM($C$8:R9)</f>
        <v>169096595.75602886</v>
      </c>
      <c r="S10" s="9">
        <f>SUM($C$8:S9)</f>
        <v>188533855.26057976</v>
      </c>
      <c r="T10" s="9">
        <f>SUM($C$8:T9)</f>
        <v>209353084.07166463</v>
      </c>
      <c r="U10" s="9">
        <f>SUM($C$8:U9)</f>
        <v>231622824.47116882</v>
      </c>
      <c r="V10" s="9">
        <f>SUM($C$8:V9)</f>
        <v>255414590.31044871</v>
      </c>
      <c r="W10" s="9">
        <f>SUM($C$8:W9)</f>
        <v>280802987.00348085</v>
      </c>
      <c r="X10" s="9">
        <f>SUM($C$8:X9)</f>
        <v>307865836.15668589</v>
      </c>
      <c r="Y10" s="9">
        <f>SUM($C$8:Y9)</f>
        <v>336684305.00930125</v>
      </c>
      <c r="Z10" s="9">
        <f>SUM($C$8:Z9)</f>
        <v>367343040.86455637</v>
      </c>
      <c r="AA10" s="9">
        <f>SUM($C$8:AA9)</f>
        <v>399930310.69851512</v>
      </c>
      <c r="AB10" s="9">
        <f>SUM($C$8:AB9)</f>
        <v>434538146.14029872</v>
      </c>
      <c r="AC10" s="9">
        <f>SUM($C$8:AC9)</f>
        <v>471262494.02449793</v>
      </c>
      <c r="AD10" s="9">
        <f>SUM($C$8:AD9)</f>
        <v>510203372.72393507</v>
      </c>
      <c r="AE10" s="9">
        <f>SUM($C$8:AE9)</f>
        <v>551465034.47855186</v>
      </c>
      <c r="AF10" s="9">
        <f>SUM($C$8:AF9)</f>
        <v>595156133.94409168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136211856.7859605</v>
      </c>
      <c r="D12" s="9">
        <f>D7+D8+D9</f>
        <v>141443312.01851922</v>
      </c>
      <c r="E12" s="9">
        <f>E7+E8+E9</f>
        <v>147315984.6569097</v>
      </c>
      <c r="F12" s="9">
        <f t="shared" ref="F12:H12" si="26">F7+F8+F9</f>
        <v>153865555.604947</v>
      </c>
      <c r="G12" s="9">
        <f t="shared" si="26"/>
        <v>161129332.73766679</v>
      </c>
      <c r="H12" s="9">
        <f t="shared" si="26"/>
        <v>169146318.49023798</v>
      </c>
      <c r="I12" s="9">
        <f t="shared" ref="I12:AF12" si="27">I7+I8+I9</f>
        <v>177957280.10654715</v>
      </c>
      <c r="J12" s="9">
        <f t="shared" si="27"/>
        <v>187604822.64846289</v>
      </c>
      <c r="K12" s="9">
        <f t="shared" si="27"/>
        <v>198133464.87052894</v>
      </c>
      <c r="L12" s="9">
        <f t="shared" si="27"/>
        <v>209589718.068712</v>
      </c>
      <c r="M12" s="9">
        <f t="shared" si="27"/>
        <v>222022168.0158481</v>
      </c>
      <c r="N12" s="9">
        <f t="shared" si="27"/>
        <v>235481560.10059538</v>
      </c>
      <c r="O12" s="9">
        <f t="shared" si="27"/>
        <v>250020887.79101503</v>
      </c>
      <c r="P12" s="9">
        <f t="shared" si="27"/>
        <v>265695484.54837537</v>
      </c>
      <c r="Q12" s="9">
        <f t="shared" si="27"/>
        <v>282563119.32140553</v>
      </c>
      <c r="R12" s="9">
        <f t="shared" si="27"/>
        <v>300684095.75602889</v>
      </c>
      <c r="S12" s="9">
        <f t="shared" si="27"/>
        <v>320121355.26057982</v>
      </c>
      <c r="T12" s="9">
        <f t="shared" si="27"/>
        <v>340940584.07166463</v>
      </c>
      <c r="U12" s="9">
        <f t="shared" si="27"/>
        <v>363210324.47116882</v>
      </c>
      <c r="V12" s="9">
        <f t="shared" si="27"/>
        <v>387002090.31044871</v>
      </c>
      <c r="W12" s="9">
        <f t="shared" si="27"/>
        <v>412390487.00348079</v>
      </c>
      <c r="X12" s="9">
        <f t="shared" si="27"/>
        <v>439453336.15668583</v>
      </c>
      <c r="Y12" s="9">
        <f t="shared" si="27"/>
        <v>468271805.00930125</v>
      </c>
      <c r="Z12" s="9">
        <f t="shared" si="27"/>
        <v>498930540.86455637</v>
      </c>
      <c r="AA12" s="9">
        <f t="shared" si="27"/>
        <v>531517810.69851512</v>
      </c>
      <c r="AB12" s="9">
        <f t="shared" si="27"/>
        <v>566125646.1402986</v>
      </c>
      <c r="AC12" s="9">
        <f t="shared" si="27"/>
        <v>602849994.02449787</v>
      </c>
      <c r="AD12" s="9">
        <f t="shared" si="27"/>
        <v>641790872.72393501</v>
      </c>
      <c r="AE12" s="9">
        <f t="shared" si="27"/>
        <v>683052534.47855175</v>
      </c>
      <c r="AF12" s="9">
        <f t="shared" si="27"/>
        <v>726743633.94409156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23161139.305644348</v>
      </c>
      <c r="D18" s="9">
        <f>Investment!D25</f>
        <v>24361414.792872496</v>
      </c>
      <c r="E18" s="9">
        <f>Investment!E25</f>
        <v>25614790.904634267</v>
      </c>
      <c r="F18" s="9">
        <f>Investment!F25</f>
        <v>26923436.998800892</v>
      </c>
      <c r="G18" s="9">
        <f>Investment!G25</f>
        <v>28289606.897107836</v>
      </c>
      <c r="H18" s="9">
        <f>Investment!H25</f>
        <v>29715642.069419645</v>
      </c>
      <c r="I18" s="9">
        <f>Investment!I25</f>
        <v>31203974.93529677</v>
      </c>
      <c r="J18" s="9">
        <f>Investment!J25</f>
        <v>32757132.287110962</v>
      </c>
      <c r="K18" s="9">
        <f>Investment!K25</f>
        <v>34377738.839107513</v>
      </c>
      <c r="L18" s="9">
        <f>Investment!L25</f>
        <v>36068520.90696983</v>
      </c>
      <c r="M18" s="9">
        <f>Investment!M25</f>
        <v>37832310.222604096</v>
      </c>
      <c r="N18" s="9">
        <f>Investment!N25</f>
        <v>39672047.889030218</v>
      </c>
      <c r="O18" s="9">
        <f>Investment!O25</f>
        <v>41590788.480439663</v>
      </c>
      <c r="P18" s="9">
        <f>Investment!P25</f>
        <v>43591704.292660952</v>
      </c>
      <c r="Q18" s="9">
        <f>Investment!Q25</f>
        <v>45678089.749460414</v>
      </c>
      <c r="R18" s="9">
        <f>Investment!R25</f>
        <v>47853365.970299385</v>
      </c>
      <c r="S18" s="9">
        <f>Investment!S25</f>
        <v>50121085.50536859</v>
      </c>
      <c r="T18" s="9">
        <f>Investment!T25</f>
        <v>52484937.243928626</v>
      </c>
      <c r="U18" s="9">
        <f>Investment!U25</f>
        <v>54948751.502199017</v>
      </c>
      <c r="V18" s="9">
        <f>Investment!V25</f>
        <v>57516505.297260933</v>
      </c>
      <c r="W18" s="9">
        <f>Investment!W25</f>
        <v>60192327.813668564</v>
      </c>
      <c r="X18" s="9">
        <f>Investment!X25</f>
        <v>62980506.069701873</v>
      </c>
      <c r="Y18" s="9">
        <f>Investment!Y25</f>
        <v>65885490.790440112</v>
      </c>
      <c r="Z18" s="9">
        <f>Investment!Z25</f>
        <v>68911902.495090246</v>
      </c>
      <c r="AA18" s="9">
        <f>Investment!AA25</f>
        <v>72064537.806268588</v>
      </c>
      <c r="AB18" s="9">
        <f>Investment!AB25</f>
        <v>75348375.989207327</v>
      </c>
      <c r="AC18" s="9">
        <f>Investment!AC25</f>
        <v>78768585.72914055</v>
      </c>
      <c r="AD18" s="9">
        <f>Investment!AD25</f>
        <v>82330532.155416563</v>
      </c>
      <c r="AE18" s="9">
        <f>Investment!AE25</f>
        <v>86039784.121187583</v>
      </c>
      <c r="AF18" s="9">
        <f>Investment!AF25</f>
        <v>89902121.747840807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154748639.30564439</v>
      </c>
      <c r="D19" s="9">
        <f>D18+C20</f>
        <v>174485697.31255642</v>
      </c>
      <c r="E19" s="9">
        <f>E18+D20</f>
        <v>194869032.98463196</v>
      </c>
      <c r="F19" s="9">
        <f t="shared" ref="F19:AF19" si="28">F18+E20</f>
        <v>215919797.34504238</v>
      </c>
      <c r="G19" s="9">
        <f t="shared" si="28"/>
        <v>237659833.29411292</v>
      </c>
      <c r="H19" s="9">
        <f t="shared" si="28"/>
        <v>260111698.23081279</v>
      </c>
      <c r="I19" s="9">
        <f t="shared" si="28"/>
        <v>283298687.41353834</v>
      </c>
      <c r="J19" s="9">
        <f t="shared" si="28"/>
        <v>307244858.08434016</v>
      </c>
      <c r="K19" s="9">
        <f t="shared" si="28"/>
        <v>331975054.38153189</v>
      </c>
      <c r="L19" s="9">
        <f t="shared" si="28"/>
        <v>357514933.06643569</v>
      </c>
      <c r="M19" s="9">
        <f t="shared" si="28"/>
        <v>383890990.09085673</v>
      </c>
      <c r="N19" s="9">
        <f t="shared" si="28"/>
        <v>411130588.03275084</v>
      </c>
      <c r="O19" s="9">
        <f t="shared" si="28"/>
        <v>439261984.42844325</v>
      </c>
      <c r="P19" s="9">
        <f t="shared" si="28"/>
        <v>468314361.03068453</v>
      </c>
      <c r="Q19" s="9">
        <f t="shared" si="28"/>
        <v>498317854.02278459</v>
      </c>
      <c r="R19" s="9">
        <f t="shared" si="28"/>
        <v>529303585.22005379</v>
      </c>
      <c r="S19" s="9">
        <f t="shared" si="28"/>
        <v>561303694.29079902</v>
      </c>
      <c r="T19" s="9">
        <f t="shared" si="28"/>
        <v>594351372.03017676</v>
      </c>
      <c r="U19" s="9">
        <f t="shared" si="28"/>
        <v>628480894.72129095</v>
      </c>
      <c r="V19" s="9">
        <f t="shared" si="28"/>
        <v>663727659.61904764</v>
      </c>
      <c r="W19" s="9">
        <f t="shared" si="28"/>
        <v>700128221.59343636</v>
      </c>
      <c r="X19" s="9">
        <f t="shared" si="28"/>
        <v>737720330.97010612</v>
      </c>
      <c r="Y19" s="9">
        <f t="shared" si="28"/>
        <v>776542972.60734117</v>
      </c>
      <c r="Z19" s="9">
        <f t="shared" si="28"/>
        <v>816636406.24981606</v>
      </c>
      <c r="AA19" s="9">
        <f t="shared" si="28"/>
        <v>858042208.20082951</v>
      </c>
      <c r="AB19" s="9">
        <f t="shared" si="28"/>
        <v>900803314.35607815</v>
      </c>
      <c r="AC19" s="9">
        <f t="shared" si="28"/>
        <v>944964064.64343512</v>
      </c>
      <c r="AD19" s="9">
        <f t="shared" si="28"/>
        <v>990570248.91465247</v>
      </c>
      <c r="AE19" s="9">
        <f t="shared" si="28"/>
        <v>1037669154.3364029</v>
      </c>
      <c r="AF19" s="9">
        <f t="shared" si="28"/>
        <v>1086309614.329627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150124282.51968393</v>
      </c>
      <c r="D20" s="9">
        <f>D19-D8-D9</f>
        <v>169254242.07999769</v>
      </c>
      <c r="E20" s="9">
        <f t="shared" ref="E20:AF20" si="29">E19-E8-E9</f>
        <v>188996360.34624147</v>
      </c>
      <c r="F20" s="9">
        <f t="shared" si="29"/>
        <v>209370226.39700508</v>
      </c>
      <c r="G20" s="9">
        <f t="shared" si="29"/>
        <v>230396056.16139314</v>
      </c>
      <c r="H20" s="9">
        <f t="shared" si="29"/>
        <v>252094712.47824159</v>
      </c>
      <c r="I20" s="9">
        <f t="shared" si="29"/>
        <v>274487725.79722917</v>
      </c>
      <c r="J20" s="9">
        <f t="shared" si="29"/>
        <v>297597315.54242438</v>
      </c>
      <c r="K20" s="9">
        <f t="shared" si="29"/>
        <v>321446412.15946585</v>
      </c>
      <c r="L20" s="9">
        <f t="shared" si="29"/>
        <v>346058679.86825264</v>
      </c>
      <c r="M20" s="9">
        <f t="shared" si="29"/>
        <v>371458540.14372063</v>
      </c>
      <c r="N20" s="9">
        <f t="shared" si="29"/>
        <v>397671195.94800359</v>
      </c>
      <c r="O20" s="9">
        <f t="shared" si="29"/>
        <v>424722656.73802358</v>
      </c>
      <c r="P20" s="9">
        <f t="shared" si="29"/>
        <v>452639764.27332419</v>
      </c>
      <c r="Q20" s="9">
        <f t="shared" si="29"/>
        <v>481450219.24975443</v>
      </c>
      <c r="R20" s="9">
        <f t="shared" si="29"/>
        <v>511182608.78543043</v>
      </c>
      <c r="S20" s="9">
        <f t="shared" si="29"/>
        <v>541866434.78624809</v>
      </c>
      <c r="T20" s="9">
        <f t="shared" si="29"/>
        <v>573532143.21909189</v>
      </c>
      <c r="U20" s="9">
        <f t="shared" si="29"/>
        <v>606211154.32178676</v>
      </c>
      <c r="V20" s="9">
        <f t="shared" si="29"/>
        <v>639935893.77976775</v>
      </c>
      <c r="W20" s="9">
        <f t="shared" si="29"/>
        <v>674739824.90040421</v>
      </c>
      <c r="X20" s="9">
        <f t="shared" si="29"/>
        <v>710657481.81690109</v>
      </c>
      <c r="Y20" s="9">
        <f t="shared" si="29"/>
        <v>747724503.75472581</v>
      </c>
      <c r="Z20" s="9">
        <f t="shared" si="29"/>
        <v>785977670.39456093</v>
      </c>
      <c r="AA20" s="9">
        <f t="shared" si="29"/>
        <v>825454938.36687076</v>
      </c>
      <c r="AB20" s="9">
        <f t="shared" si="29"/>
        <v>866195478.9142946</v>
      </c>
      <c r="AC20" s="9">
        <f t="shared" si="29"/>
        <v>908239716.75923586</v>
      </c>
      <c r="AD20" s="9">
        <f t="shared" si="29"/>
        <v>951629370.21521533</v>
      </c>
      <c r="AE20" s="9">
        <f t="shared" si="29"/>
        <v>996407492.58178616</v>
      </c>
      <c r="AF20" s="9">
        <f t="shared" si="29"/>
        <v>1042618514.8640871</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4507000</v>
      </c>
      <c r="D22" s="9">
        <f ca="1">'Balance Sheet'!C11</f>
        <v>26785288.335015491</v>
      </c>
      <c r="E22" s="9">
        <f ca="1">'Balance Sheet'!D11</f>
        <v>47910051.261579424</v>
      </c>
      <c r="F22" s="9">
        <f ca="1">'Balance Sheet'!E11</f>
        <v>66510069.504665181</v>
      </c>
      <c r="G22" s="9">
        <f ca="1">'Balance Sheet'!F11</f>
        <v>81294770.38535507</v>
      </c>
      <c r="H22" s="9">
        <f ca="1">'Balance Sheet'!G11</f>
        <v>92812084.41537407</v>
      </c>
      <c r="I22" s="9">
        <f ca="1">'Balance Sheet'!H11</f>
        <v>102377231.18739547</v>
      </c>
      <c r="J22" s="9">
        <f ca="1">'Balance Sheet'!I11</f>
        <v>110880021.99405782</v>
      </c>
      <c r="K22" s="9">
        <f ca="1">'Balance Sheet'!J11</f>
        <v>118833927.46881086</v>
      </c>
      <c r="L22" s="9">
        <f ca="1">'Balance Sheet'!K11</f>
        <v>126500500.68955797</v>
      </c>
      <c r="M22" s="9">
        <f ca="1">'Balance Sheet'!L11</f>
        <v>133742599.48460098</v>
      </c>
      <c r="N22" s="9">
        <f ca="1">'Balance Sheet'!M11</f>
        <v>140933227.05243117</v>
      </c>
      <c r="O22" s="9">
        <f ca="1">'Balance Sheet'!N11</f>
        <v>147987462.62520769</v>
      </c>
      <c r="P22" s="9">
        <f ca="1">'Balance Sheet'!O11</f>
        <v>155404818.82038483</v>
      </c>
      <c r="Q22" s="9">
        <f ca="1">'Balance Sheet'!P11</f>
        <v>163166399.20307541</v>
      </c>
      <c r="R22" s="9">
        <f ca="1">'Balance Sheet'!Q11</f>
        <v>171249010.63577235</v>
      </c>
      <c r="S22" s="9">
        <f ca="1">'Balance Sheet'!R11</f>
        <v>179624741.91517785</v>
      </c>
      <c r="T22" s="9">
        <f ca="1">'Balance Sheet'!S11</f>
        <v>188260510.46410537</v>
      </c>
      <c r="U22" s="9">
        <f ca="1">'Balance Sheet'!T11</f>
        <v>197117574.95204079</v>
      </c>
      <c r="V22" s="9">
        <f ca="1">'Balance Sheet'!U11</f>
        <v>206151011.58695447</v>
      </c>
      <c r="W22" s="9">
        <f ca="1">'Balance Sheet'!V11</f>
        <v>215309151.68228418</v>
      </c>
      <c r="X22" s="9">
        <f ca="1">'Balance Sheet'!W11</f>
        <v>224532977.95622808</v>
      </c>
      <c r="Y22" s="9">
        <f ca="1">'Balance Sheet'!X11</f>
        <v>233755476.86513609</v>
      </c>
      <c r="Z22" s="9">
        <f ca="1">'Balance Sheet'!Y11</f>
        <v>242900944.1083838</v>
      </c>
      <c r="AA22" s="9">
        <f ca="1">'Balance Sheet'!Z11</f>
        <v>251884240.26814452</v>
      </c>
      <c r="AB22" s="9">
        <f ca="1">'Balance Sheet'!AA11</f>
        <v>261704236.92017227</v>
      </c>
      <c r="AC22" s="9">
        <f ca="1">'Balance Sheet'!AB11</f>
        <v>272396969.49361461</v>
      </c>
      <c r="AD22" s="9">
        <f ca="1">'Balance Sheet'!AC11</f>
        <v>284592919.57829249</v>
      </c>
      <c r="AE22" s="9">
        <f ca="1">'Balance Sheet'!AD11</f>
        <v>299998853.78432781</v>
      </c>
      <c r="AF22" s="9">
        <f ca="1">'Balance Sheet'!AE11</f>
        <v>318881199.12521052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145617282.51968393</v>
      </c>
      <c r="D23" s="9">
        <f t="shared" ref="D23:AF23" ca="1" si="30">D20-D22</f>
        <v>142468953.74498218</v>
      </c>
      <c r="E23" s="9">
        <f t="shared" ca="1" si="30"/>
        <v>141086309.08466205</v>
      </c>
      <c r="F23" s="9">
        <f t="shared" ca="1" si="30"/>
        <v>142860156.89233989</v>
      </c>
      <c r="G23" s="9">
        <f t="shared" ca="1" si="30"/>
        <v>149101285.77603805</v>
      </c>
      <c r="H23" s="9">
        <f t="shared" ca="1" si="30"/>
        <v>159282628.06286752</v>
      </c>
      <c r="I23" s="9">
        <f t="shared" ca="1" si="30"/>
        <v>172110494.60983372</v>
      </c>
      <c r="J23" s="9">
        <f ca="1">J20-J22</f>
        <v>186717293.54836655</v>
      </c>
      <c r="K23" s="9">
        <f t="shared" ca="1" si="30"/>
        <v>202612484.69065499</v>
      </c>
      <c r="L23" s="9">
        <f t="shared" ca="1" si="30"/>
        <v>219558179.17869467</v>
      </c>
      <c r="M23" s="9">
        <f t="shared" ca="1" si="30"/>
        <v>237715940.65911967</v>
      </c>
      <c r="N23" s="9">
        <f t="shared" ca="1" si="30"/>
        <v>256737968.89557242</v>
      </c>
      <c r="O23" s="9">
        <f t="shared" ca="1" si="30"/>
        <v>276735194.11281586</v>
      </c>
      <c r="P23" s="9">
        <f t="shared" ca="1" si="30"/>
        <v>297234945.45293939</v>
      </c>
      <c r="Q23" s="9">
        <f t="shared" ca="1" si="30"/>
        <v>318283820.04667902</v>
      </c>
      <c r="R23" s="9">
        <f t="shared" ca="1" si="30"/>
        <v>339933598.14965808</v>
      </c>
      <c r="S23" s="9">
        <f t="shared" ca="1" si="30"/>
        <v>362241692.87107027</v>
      </c>
      <c r="T23" s="9">
        <f t="shared" ca="1" si="30"/>
        <v>385271632.75498652</v>
      </c>
      <c r="U23" s="9">
        <f t="shared" ca="1" si="30"/>
        <v>409093579.36974597</v>
      </c>
      <c r="V23" s="9">
        <f t="shared" ca="1" si="30"/>
        <v>433784882.19281328</v>
      </c>
      <c r="W23" s="9">
        <f t="shared" ca="1" si="30"/>
        <v>459430673.21812004</v>
      </c>
      <c r="X23" s="9">
        <f t="shared" ca="1" si="30"/>
        <v>486124503.86067301</v>
      </c>
      <c r="Y23" s="9">
        <f t="shared" ca="1" si="30"/>
        <v>513969026.88958973</v>
      </c>
      <c r="Z23" s="9">
        <f t="shared" ca="1" si="30"/>
        <v>543076726.28617716</v>
      </c>
      <c r="AA23" s="9">
        <f t="shared" ca="1" si="30"/>
        <v>573570698.09872627</v>
      </c>
      <c r="AB23" s="9">
        <f t="shared" ca="1" si="30"/>
        <v>604491241.99412227</v>
      </c>
      <c r="AC23" s="9">
        <f t="shared" ca="1" si="30"/>
        <v>635842747.26562119</v>
      </c>
      <c r="AD23" s="9">
        <f t="shared" ca="1" si="30"/>
        <v>667036450.63692284</v>
      </c>
      <c r="AE23" s="9">
        <f t="shared" ca="1" si="30"/>
        <v>696408638.79745841</v>
      </c>
      <c r="AF23" s="9">
        <f t="shared" ca="1" si="30"/>
        <v>723737315.73887658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4507000</v>
      </c>
      <c r="D5" s="1">
        <f ca="1">C5+C6</f>
        <v>26785288.335015491</v>
      </c>
      <c r="E5" s="1">
        <f t="shared" ref="E5:AF5" ca="1" si="1">D5+D6</f>
        <v>47910051.261579424</v>
      </c>
      <c r="F5" s="1">
        <f t="shared" ca="1" si="1"/>
        <v>66510069.504665181</v>
      </c>
      <c r="G5" s="1">
        <f t="shared" ca="1" si="1"/>
        <v>81294770.38535507</v>
      </c>
      <c r="H5" s="1">
        <f t="shared" ca="1" si="1"/>
        <v>92812084.41537407</v>
      </c>
      <c r="I5" s="1">
        <f t="shared" ca="1" si="1"/>
        <v>102377231.18739547</v>
      </c>
      <c r="J5" s="1">
        <f t="shared" ca="1" si="1"/>
        <v>110880021.99405782</v>
      </c>
      <c r="K5" s="1">
        <f t="shared" ca="1" si="1"/>
        <v>118833927.46881086</v>
      </c>
      <c r="L5" s="1">
        <f t="shared" ca="1" si="1"/>
        <v>126500500.68955797</v>
      </c>
      <c r="M5" s="1">
        <f t="shared" ca="1" si="1"/>
        <v>133742599.48460098</v>
      </c>
      <c r="N5" s="1">
        <f t="shared" ca="1" si="1"/>
        <v>140933227.05243117</v>
      </c>
      <c r="O5" s="1">
        <f t="shared" ca="1" si="1"/>
        <v>147987462.62520769</v>
      </c>
      <c r="P5" s="1">
        <f t="shared" ca="1" si="1"/>
        <v>155404818.82038483</v>
      </c>
      <c r="Q5" s="1">
        <f t="shared" ca="1" si="1"/>
        <v>163166399.20307541</v>
      </c>
      <c r="R5" s="1">
        <f t="shared" ca="1" si="1"/>
        <v>171249010.63577235</v>
      </c>
      <c r="S5" s="1">
        <f t="shared" ca="1" si="1"/>
        <v>179624741.91517785</v>
      </c>
      <c r="T5" s="1">
        <f t="shared" ca="1" si="1"/>
        <v>188260510.46410537</v>
      </c>
      <c r="U5" s="1">
        <f t="shared" ca="1" si="1"/>
        <v>197117574.95204079</v>
      </c>
      <c r="V5" s="1">
        <f t="shared" ca="1" si="1"/>
        <v>206151011.58695447</v>
      </c>
      <c r="W5" s="1">
        <f t="shared" ca="1" si="1"/>
        <v>215309151.68228418</v>
      </c>
      <c r="X5" s="1">
        <f t="shared" ca="1" si="1"/>
        <v>224532977.95622808</v>
      </c>
      <c r="Y5" s="1">
        <f t="shared" ca="1" si="1"/>
        <v>233755476.86513609</v>
      </c>
      <c r="Z5" s="1">
        <f t="shared" ca="1" si="1"/>
        <v>242900944.1083838</v>
      </c>
      <c r="AA5" s="1">
        <f t="shared" ca="1" si="1"/>
        <v>251884240.26814452</v>
      </c>
      <c r="AB5" s="1">
        <f t="shared" ca="1" si="1"/>
        <v>261704236.92017227</v>
      </c>
      <c r="AC5" s="1">
        <f t="shared" ca="1" si="1"/>
        <v>272396969.49361461</v>
      </c>
      <c r="AD5" s="1">
        <f t="shared" ca="1" si="1"/>
        <v>284592919.57829249</v>
      </c>
      <c r="AE5" s="1">
        <f t="shared" ca="1" si="1"/>
        <v>299998853.78432781</v>
      </c>
      <c r="AF5" s="1">
        <f t="shared" ca="1" si="1"/>
        <v>318881199.12521052</v>
      </c>
      <c r="AG5" s="1"/>
      <c r="AH5" s="1"/>
      <c r="AI5" s="1"/>
      <c r="AJ5" s="1"/>
      <c r="AK5" s="1"/>
      <c r="AL5" s="1"/>
      <c r="AM5" s="1"/>
      <c r="AN5" s="1"/>
      <c r="AO5" s="1"/>
      <c r="AP5" s="1"/>
    </row>
    <row r="6" spans="1:42" x14ac:dyDescent="0.35">
      <c r="A6" s="63" t="s">
        <v>3</v>
      </c>
      <c r="C6" s="1">
        <f ca="1">-'Cash Flow'!C13</f>
        <v>22278288.335015491</v>
      </c>
      <c r="D6" s="1">
        <f ca="1">-'Cash Flow'!D13</f>
        <v>21124762.926563933</v>
      </c>
      <c r="E6" s="1">
        <f ca="1">-'Cash Flow'!E13</f>
        <v>18600018.243085757</v>
      </c>
      <c r="F6" s="1">
        <f ca="1">-'Cash Flow'!F13</f>
        <v>14784700.880689884</v>
      </c>
      <c r="G6" s="1">
        <f ca="1">-'Cash Flow'!G13</f>
        <v>11517314.030019004</v>
      </c>
      <c r="H6" s="1">
        <f ca="1">-'Cash Flow'!H13</f>
        <v>9565146.7720213979</v>
      </c>
      <c r="I6" s="1">
        <f ca="1">-'Cash Flow'!I13</f>
        <v>8502790.8066623546</v>
      </c>
      <c r="J6" s="1">
        <f ca="1">-'Cash Flow'!J13</f>
        <v>7953905.4747530334</v>
      </c>
      <c r="K6" s="1">
        <f ca="1">-'Cash Flow'!K13</f>
        <v>7666573.2207471132</v>
      </c>
      <c r="L6" s="1">
        <f ca="1">-'Cash Flow'!L13</f>
        <v>7242098.7950430065</v>
      </c>
      <c r="M6" s="1">
        <f ca="1">-'Cash Flow'!M13</f>
        <v>7190627.5678301901</v>
      </c>
      <c r="N6" s="1">
        <f ca="1">-'Cash Flow'!N13</f>
        <v>7054235.5727765262</v>
      </c>
      <c r="O6" s="1">
        <f ca="1">-'Cash Flow'!O13</f>
        <v>7417356.1951771379</v>
      </c>
      <c r="P6" s="1">
        <f ca="1">-'Cash Flow'!P13</f>
        <v>7761580.3826905638</v>
      </c>
      <c r="Q6" s="1">
        <f ca="1">-'Cash Flow'!Q13</f>
        <v>8082611.4326969311</v>
      </c>
      <c r="R6" s="1">
        <f ca="1">-'Cash Flow'!R13</f>
        <v>8375731.2794055119</v>
      </c>
      <c r="S6" s="1">
        <f ca="1">-'Cash Flow'!S13</f>
        <v>8635768.5489275157</v>
      </c>
      <c r="T6" s="1">
        <f ca="1">-'Cash Flow'!T13</f>
        <v>8857064.4879354388</v>
      </c>
      <c r="U6" s="1">
        <f ca="1">-'Cash Flow'!U13</f>
        <v>9033436.6349136755</v>
      </c>
      <c r="V6" s="1">
        <f ca="1">-'Cash Flow'!V13</f>
        <v>9158140.0953296944</v>
      </c>
      <c r="W6" s="1">
        <f ca="1">-'Cash Flow'!W13</f>
        <v>9223826.2739438862</v>
      </c>
      <c r="X6" s="1">
        <f ca="1">-'Cash Flow'!X13</f>
        <v>9222498.9089080244</v>
      </c>
      <c r="Y6" s="1">
        <f ca="1">-'Cash Flow'!Y13</f>
        <v>9145467.2432477176</v>
      </c>
      <c r="Z6" s="1">
        <f ca="1">-'Cash Flow'!Z13</f>
        <v>8983296.1597607136</v>
      </c>
      <c r="AA6" s="1">
        <f ca="1">-'Cash Flow'!AA13</f>
        <v>9819996.6520277411</v>
      </c>
      <c r="AB6" s="1">
        <f ca="1">-'Cash Flow'!AB13</f>
        <v>10692732.573442318</v>
      </c>
      <c r="AC6" s="1">
        <f ca="1">-'Cash Flow'!AC13</f>
        <v>12195950.084677905</v>
      </c>
      <c r="AD6" s="1">
        <f ca="1">-'Cash Flow'!AD13</f>
        <v>15405934.206035301</v>
      </c>
      <c r="AE6" s="1">
        <f ca="1">-'Cash Flow'!AE13</f>
        <v>18882345.340882704</v>
      </c>
      <c r="AF6" s="1">
        <f ca="1">-'Cash Flow'!AF13</f>
        <v>22641157.462750092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937485.09172554221</v>
      </c>
      <c r="D8" s="1">
        <f ca="1">IF(SUM(D5:D6)&gt;0,Assumptions!$C$26*SUM(D5:D6),Assumptions!$C$27*(SUM(D5:D6)))</f>
        <v>1676851.7941552801</v>
      </c>
      <c r="E8" s="1">
        <f ca="1">IF(SUM(E5:E6)&gt;0,Assumptions!$C$26*SUM(E5:E6),Assumptions!$C$27*(SUM(E5:E6)))</f>
        <v>2327852.4326632814</v>
      </c>
      <c r="F8" s="1">
        <f ca="1">IF(SUM(F5:F6)&gt;0,Assumptions!$C$26*SUM(F5:F6),Assumptions!$C$27*(SUM(F5:F6)))</f>
        <v>2845316.9634874277</v>
      </c>
      <c r="G8" s="1">
        <f ca="1">IF(SUM(G5:G6)&gt;0,Assumptions!$C$26*SUM(G5:G6),Assumptions!$C$27*(SUM(G5:G6)))</f>
        <v>3248422.9545380929</v>
      </c>
      <c r="H8" s="1">
        <f ca="1">IF(SUM(H5:H6)&gt;0,Assumptions!$C$26*SUM(H5:H6),Assumptions!$C$27*(SUM(H5:H6)))</f>
        <v>3583203.0915588415</v>
      </c>
      <c r="I8" s="1">
        <f ca="1">IF(SUM(I5:I6)&gt;0,Assumptions!$C$26*SUM(I5:I6),Assumptions!$C$27*(SUM(I5:I6)))</f>
        <v>3880800.769792024</v>
      </c>
      <c r="J8" s="1">
        <f ca="1">IF(SUM(J5:J6)&gt;0,Assumptions!$C$26*SUM(J5:J6),Assumptions!$C$27*(SUM(J5:J6)))</f>
        <v>4159187.4614083804</v>
      </c>
      <c r="K8" s="1">
        <f ca="1">IF(SUM(K5:K6)&gt;0,Assumptions!$C$26*SUM(K5:K6),Assumptions!$C$27*(SUM(K5:K6)))</f>
        <v>4427517.5241345298</v>
      </c>
      <c r="L8" s="1">
        <f ca="1">IF(SUM(L5:L6)&gt;0,Assumptions!$C$26*SUM(L5:L6),Assumptions!$C$27*(SUM(L5:L6)))</f>
        <v>4680990.9819610342</v>
      </c>
      <c r="M8" s="1">
        <f ca="1">IF(SUM(M5:M6)&gt;0,Assumptions!$C$26*SUM(M5:M6),Assumptions!$C$27*(SUM(M5:M6)))</f>
        <v>4932662.9468350913</v>
      </c>
      <c r="N8" s="1">
        <f ca="1">IF(SUM(N5:N6)&gt;0,Assumptions!$C$26*SUM(N5:N6),Assumptions!$C$27*(SUM(N5:N6)))</f>
        <v>5179561.1918822695</v>
      </c>
      <c r="O8" s="1">
        <f ca="1">IF(SUM(O5:O6)&gt;0,Assumptions!$C$26*SUM(O5:O6),Assumptions!$C$27*(SUM(O5:O6)))</f>
        <v>5439168.6587134693</v>
      </c>
      <c r="P8" s="1">
        <f ca="1">IF(SUM(P5:P6)&gt;0,Assumptions!$C$26*SUM(P5:P6),Assumptions!$C$27*(SUM(P5:P6)))</f>
        <v>5710823.9721076395</v>
      </c>
      <c r="Q8" s="1">
        <f ca="1">IF(SUM(Q5:Q6)&gt;0,Assumptions!$C$26*SUM(Q5:Q6),Assumptions!$C$27*(SUM(Q5:Q6)))</f>
        <v>5993715.3722520331</v>
      </c>
      <c r="R8" s="1">
        <f ca="1">IF(SUM(R5:R6)&gt;0,Assumptions!$C$26*SUM(R5:R6),Assumptions!$C$27*(SUM(R5:R6)))</f>
        <v>6286865.9670312256</v>
      </c>
      <c r="S8" s="1">
        <f ca="1">IF(SUM(S5:S6)&gt;0,Assumptions!$C$26*SUM(S5:S6),Assumptions!$C$27*(SUM(S5:S6)))</f>
        <v>6589117.8662436884</v>
      </c>
      <c r="T8" s="1">
        <f ca="1">IF(SUM(T5:T6)&gt;0,Assumptions!$C$26*SUM(T5:T6),Assumptions!$C$27*(SUM(T5:T6)))</f>
        <v>6899115.123321428</v>
      </c>
      <c r="U8" s="1">
        <f ca="1">IF(SUM(U5:U6)&gt;0,Assumptions!$C$26*SUM(U5:U6),Assumptions!$C$27*(SUM(U5:U6)))</f>
        <v>7215285.4055434074</v>
      </c>
      <c r="V8" s="1">
        <f ca="1">IF(SUM(V5:V6)&gt;0,Assumptions!$C$26*SUM(V5:V6),Assumptions!$C$27*(SUM(V5:V6)))</f>
        <v>7535820.3088799473</v>
      </c>
      <c r="W8" s="1">
        <f ca="1">IF(SUM(W5:W6)&gt;0,Assumptions!$C$26*SUM(W5:W6),Assumptions!$C$27*(SUM(W5:W6)))</f>
        <v>7858654.2284679832</v>
      </c>
      <c r="X8" s="1">
        <f ca="1">IF(SUM(X5:X6)&gt;0,Assumptions!$C$26*SUM(X5:X6),Assumptions!$C$27*(SUM(X5:X6)))</f>
        <v>8181441.6902797641</v>
      </c>
      <c r="Y8" s="1">
        <f ca="1">IF(SUM(Y5:Y6)&gt;0,Assumptions!$C$26*SUM(Y5:Y6),Assumptions!$C$27*(SUM(Y5:Y6)))</f>
        <v>8501533.0437934343</v>
      </c>
      <c r="Z8" s="1">
        <f ca="1">IF(SUM(Z5:Z6)&gt;0,Assumptions!$C$26*SUM(Z5:Z6),Assumptions!$C$27*(SUM(Z5:Z6)))</f>
        <v>8815948.409385059</v>
      </c>
      <c r="AA8" s="1">
        <f ca="1">IF(SUM(AA5:AA6)&gt;0,Assumptions!$C$26*SUM(AA5:AA6),Assumptions!$C$27*(SUM(AA5:AA6)))</f>
        <v>9159648.2922060303</v>
      </c>
      <c r="AB8" s="1">
        <f ca="1">IF(SUM(AB5:AB6)&gt;0,Assumptions!$C$26*SUM(AB5:AB6),Assumptions!$C$27*(SUM(AB5:AB6)))</f>
        <v>9533893.9322765116</v>
      </c>
      <c r="AC8" s="1">
        <f ca="1">IF(SUM(AC5:AC6)&gt;0,Assumptions!$C$26*SUM(AC5:AC6),Assumptions!$C$27*(SUM(AC5:AC6)))</f>
        <v>9960752.1852402389</v>
      </c>
      <c r="AD8" s="1">
        <f ca="1">IF(SUM(AD5:AD6)&gt;0,Assumptions!$C$26*SUM(AD5:AD6),Assumptions!$C$27*(SUM(AD5:AD6)))</f>
        <v>10499959.882451475</v>
      </c>
      <c r="AE8" s="1">
        <f ca="1">IF(SUM(AE5:AE6)&gt;0,Assumptions!$C$26*SUM(AE5:AE6),Assumptions!$C$27*(SUM(AE5:AE6)))</f>
        <v>11160841.96938237</v>
      </c>
      <c r="AF8" s="1">
        <f ca="1">IF(SUM(AF5:AF6)&gt;0,Assumptions!$C$26*SUM(AF5:AF6),Assumptions!$C$27*(SUM(AF5:AF6)))</f>
        <v>11953282.480578622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110"/>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46.66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96</v>
      </c>
      <c r="B7" s="181">
        <f>Assumptions!C24</f>
        <v>8125000</v>
      </c>
      <c r="C7" s="180" t="str">
        <f>Assumptions!B24</f>
        <v>RFI Table F10; Lines F10.62 + F10.70</v>
      </c>
    </row>
    <row r="8" spans="1:3" ht="34" x14ac:dyDescent="0.45">
      <c r="A8" s="90" t="s">
        <v>174</v>
      </c>
      <c r="B8" s="182">
        <f>Assumptions!$C$133</f>
        <v>0.7</v>
      </c>
      <c r="C8" s="180" t="s">
        <v>199</v>
      </c>
    </row>
    <row r="9" spans="1:3" ht="18.5" x14ac:dyDescent="0.45">
      <c r="A9" s="90"/>
      <c r="B9" s="183"/>
      <c r="C9" s="180"/>
    </row>
    <row r="10" spans="1:3" ht="85" x14ac:dyDescent="0.45">
      <c r="A10" s="94" t="s">
        <v>102</v>
      </c>
      <c r="B10" s="184">
        <f>Assumptions!C135</f>
        <v>7037.0370370370365</v>
      </c>
      <c r="C10" s="180" t="s">
        <v>200</v>
      </c>
    </row>
    <row r="11" spans="1:3" ht="18.5" x14ac:dyDescent="0.45">
      <c r="A11" s="94"/>
      <c r="B11" s="185"/>
      <c r="C11" s="180"/>
    </row>
    <row r="12" spans="1:3" ht="18.5" x14ac:dyDescent="0.45">
      <c r="A12" s="94" t="s">
        <v>184</v>
      </c>
      <c r="B12" s="181">
        <f>(B7*B8)/B10</f>
        <v>808.22368421052636</v>
      </c>
      <c r="C12" s="180"/>
    </row>
    <row r="13" spans="1:3" ht="18.5" x14ac:dyDescent="0.45">
      <c r="A13" s="96"/>
      <c r="B13" s="186"/>
      <c r="C13" s="180"/>
    </row>
    <row r="14" spans="1:3" ht="18.5" x14ac:dyDescent="0.45">
      <c r="A14" s="94" t="s">
        <v>103</v>
      </c>
      <c r="B14" s="103">
        <v>1</v>
      </c>
      <c r="C14" s="180"/>
    </row>
    <row r="15" spans="1:3" ht="18.5" x14ac:dyDescent="0.45">
      <c r="A15" s="96"/>
      <c r="B15" s="99"/>
      <c r="C15" s="180"/>
    </row>
    <row r="16" spans="1:3" ht="18.5" x14ac:dyDescent="0.45">
      <c r="A16" s="96" t="s">
        <v>179</v>
      </c>
      <c r="B16" s="187">
        <f>B12/B14</f>
        <v>808.22368421052636</v>
      </c>
      <c r="C16" s="180"/>
    </row>
    <row r="17" spans="1:3" ht="18.5" x14ac:dyDescent="0.45">
      <c r="A17" s="94"/>
      <c r="B17" s="188"/>
      <c r="C17" s="180"/>
    </row>
    <row r="18" spans="1:3" ht="18.5" x14ac:dyDescent="0.45">
      <c r="A18" s="102" t="s">
        <v>178</v>
      </c>
      <c r="B18" s="188"/>
      <c r="C18" s="180"/>
    </row>
    <row r="19" spans="1:3" ht="18.5" x14ac:dyDescent="0.45">
      <c r="A19" s="94"/>
      <c r="B19" s="188"/>
      <c r="C19" s="180"/>
    </row>
    <row r="20" spans="1:3" ht="34" x14ac:dyDescent="0.45">
      <c r="A20" s="94" t="s">
        <v>65</v>
      </c>
      <c r="B20" s="181">
        <f>'Profit and Loss'!L5</f>
        <v>50868808.752356797</v>
      </c>
      <c r="C20" s="180" t="s">
        <v>201</v>
      </c>
    </row>
    <row r="21" spans="1:3" ht="34" x14ac:dyDescent="0.45">
      <c r="A21" s="94" t="str">
        <f>A8</f>
        <v>Assumed revenue from households</v>
      </c>
      <c r="B21" s="182">
        <f>B8</f>
        <v>0.7</v>
      </c>
      <c r="C21" s="180" t="s">
        <v>199</v>
      </c>
    </row>
    <row r="22" spans="1:3" ht="18.5" x14ac:dyDescent="0.45">
      <c r="A22" s="94"/>
      <c r="B22" s="185"/>
      <c r="C22" s="180"/>
    </row>
    <row r="23" spans="1:3" ht="34" x14ac:dyDescent="0.45">
      <c r="A23" s="94" t="s">
        <v>101</v>
      </c>
      <c r="B23" s="184">
        <f>Assumptions!M135</f>
        <v>7171.2377306427297</v>
      </c>
      <c r="C23" s="180" t="s">
        <v>202</v>
      </c>
    </row>
    <row r="24" spans="1:3" ht="18.5" x14ac:dyDescent="0.45">
      <c r="A24" s="94"/>
      <c r="B24" s="185"/>
      <c r="C24" s="180"/>
    </row>
    <row r="25" spans="1:3" ht="18.5" x14ac:dyDescent="0.45">
      <c r="A25" s="94" t="s">
        <v>183</v>
      </c>
      <c r="B25" s="181">
        <f>(B20*B21)/B23</f>
        <v>4965.4142651687453</v>
      </c>
      <c r="C25" s="180"/>
    </row>
    <row r="26" spans="1:3" ht="18.5" x14ac:dyDescent="0.45">
      <c r="A26" s="94"/>
      <c r="B26" s="181"/>
      <c r="C26" s="180"/>
    </row>
    <row r="27" spans="1:3" ht="34" x14ac:dyDescent="0.45">
      <c r="A27" s="94" t="s">
        <v>103</v>
      </c>
      <c r="B27" s="103">
        <f>1.022^11</f>
        <v>1.2704566586717592</v>
      </c>
      <c r="C27" s="180" t="s">
        <v>203</v>
      </c>
    </row>
    <row r="28" spans="1:3" ht="18.5" x14ac:dyDescent="0.45">
      <c r="A28" s="96"/>
      <c r="B28" s="186"/>
      <c r="C28" s="180"/>
    </row>
    <row r="29" spans="1:3" ht="18.5" x14ac:dyDescent="0.45">
      <c r="A29" s="96" t="s">
        <v>180</v>
      </c>
      <c r="B29" s="181">
        <f>B25/B27</f>
        <v>3908.3696647786487</v>
      </c>
      <c r="C29" s="180"/>
    </row>
    <row r="30" spans="1:3" ht="18.5" x14ac:dyDescent="0.45">
      <c r="A30" s="96"/>
      <c r="B30" s="186"/>
      <c r="C30" s="180"/>
    </row>
    <row r="31" spans="1:3" ht="18.5" x14ac:dyDescent="0.45">
      <c r="A31" s="102" t="s">
        <v>186</v>
      </c>
      <c r="B31" s="189"/>
      <c r="C31" s="180"/>
    </row>
    <row r="32" spans="1:3" ht="18.5" x14ac:dyDescent="0.45">
      <c r="A32" s="94"/>
      <c r="B32" s="181"/>
      <c r="C32" s="180"/>
    </row>
    <row r="33" spans="1:3" ht="34" x14ac:dyDescent="0.45">
      <c r="A33" s="94" t="s">
        <v>66</v>
      </c>
      <c r="B33" s="181">
        <f>'Profit and Loss'!AF5</f>
        <v>127380564.35994588</v>
      </c>
      <c r="C33" s="180" t="s">
        <v>201</v>
      </c>
    </row>
    <row r="34" spans="1:3" ht="34" x14ac:dyDescent="0.45">
      <c r="A34" s="94" t="str">
        <f>A21</f>
        <v>Assumed revenue from households</v>
      </c>
      <c r="B34" s="182">
        <f>B21</f>
        <v>0.7</v>
      </c>
      <c r="C34" s="180" t="s">
        <v>199</v>
      </c>
    </row>
    <row r="35" spans="1:3" ht="18.5" x14ac:dyDescent="0.45">
      <c r="A35" s="94"/>
      <c r="B35" s="185"/>
      <c r="C35" s="180"/>
    </row>
    <row r="36" spans="1:3" ht="34" x14ac:dyDescent="0.45">
      <c r="A36" s="94" t="s">
        <v>100</v>
      </c>
      <c r="B36" s="184">
        <f>Assumptions!AG135</f>
        <v>7447.3657983938811</v>
      </c>
      <c r="C36" s="180" t="s">
        <v>202</v>
      </c>
    </row>
    <row r="37" spans="1:3" ht="18.5" x14ac:dyDescent="0.45">
      <c r="A37" s="94"/>
      <c r="B37" s="185"/>
      <c r="C37" s="180"/>
    </row>
    <row r="38" spans="1:3" ht="18.5" x14ac:dyDescent="0.45">
      <c r="A38" s="94" t="s">
        <v>182</v>
      </c>
      <c r="B38" s="181">
        <f>(B33*B34)/B36</f>
        <v>11972.87705019028</v>
      </c>
      <c r="C38" s="180"/>
    </row>
    <row r="39" spans="1:3" ht="18.5" x14ac:dyDescent="0.45">
      <c r="A39" s="94"/>
      <c r="B39" s="185"/>
      <c r="C39" s="180"/>
    </row>
    <row r="40" spans="1:3" ht="34" x14ac:dyDescent="0.45">
      <c r="A40" s="94" t="s">
        <v>103</v>
      </c>
      <c r="B40" s="103">
        <f>1.022^31</f>
        <v>1.9632597808456462</v>
      </c>
      <c r="C40" s="180" t="s">
        <v>203</v>
      </c>
    </row>
    <row r="41" spans="1:3" ht="18.5" x14ac:dyDescent="0.45">
      <c r="A41" s="96"/>
      <c r="B41" s="186"/>
    </row>
    <row r="42" spans="1:3" ht="18.5" x14ac:dyDescent="0.45">
      <c r="A42" s="96" t="s">
        <v>181</v>
      </c>
      <c r="B42" s="181">
        <f>B38/B40</f>
        <v>6098.4680514532483</v>
      </c>
    </row>
    <row r="43" spans="1:3" x14ac:dyDescent="0.35">
      <c r="B43" s="190"/>
    </row>
    <row r="44" spans="1:3" x14ac:dyDescent="0.35">
      <c r="B44" s="190"/>
    </row>
    <row r="45" spans="1:3" x14ac:dyDescent="0.35">
      <c r="B45" s="190"/>
    </row>
    <row r="46" spans="1:3" x14ac:dyDescent="0.35">
      <c r="B46" s="190"/>
    </row>
    <row r="47" spans="1:3" x14ac:dyDescent="0.35">
      <c r="B47" s="190"/>
    </row>
    <row r="48" spans="1:3" x14ac:dyDescent="0.35">
      <c r="B48" s="190"/>
    </row>
    <row r="49" spans="2:2" x14ac:dyDescent="0.35">
      <c r="B49" s="190"/>
    </row>
    <row r="50" spans="2:2" x14ac:dyDescent="0.35">
      <c r="B50" s="190"/>
    </row>
    <row r="51" spans="2:2" x14ac:dyDescent="0.35">
      <c r="B51" s="190"/>
    </row>
    <row r="52" spans="2:2" x14ac:dyDescent="0.35">
      <c r="B52" s="190"/>
    </row>
    <row r="53" spans="2:2" x14ac:dyDescent="0.35">
      <c r="B53" s="190"/>
    </row>
    <row r="54" spans="2:2" x14ac:dyDescent="0.35">
      <c r="B54" s="190"/>
    </row>
    <row r="55" spans="2:2" x14ac:dyDescent="0.35">
      <c r="B55" s="190"/>
    </row>
    <row r="56" spans="2:2" x14ac:dyDescent="0.35">
      <c r="B56" s="190"/>
    </row>
    <row r="57" spans="2:2" x14ac:dyDescent="0.35">
      <c r="B57" s="190"/>
    </row>
    <row r="58" spans="2:2" x14ac:dyDescent="0.35">
      <c r="B58" s="190"/>
    </row>
    <row r="59" spans="2:2" x14ac:dyDescent="0.35">
      <c r="B59" s="190"/>
    </row>
    <row r="60" spans="2:2" x14ac:dyDescent="0.35">
      <c r="B60" s="190"/>
    </row>
    <row r="61" spans="2:2" x14ac:dyDescent="0.35">
      <c r="B61" s="190"/>
    </row>
    <row r="62" spans="2:2" x14ac:dyDescent="0.35">
      <c r="B62" s="190"/>
    </row>
    <row r="63" spans="2:2" x14ac:dyDescent="0.35">
      <c r="B63" s="190"/>
    </row>
    <row r="64" spans="2:2" x14ac:dyDescent="0.35">
      <c r="B64" s="190"/>
    </row>
    <row r="65" spans="2:2" x14ac:dyDescent="0.35">
      <c r="B65" s="190"/>
    </row>
    <row r="66" spans="2:2" x14ac:dyDescent="0.35">
      <c r="B66" s="190"/>
    </row>
    <row r="67" spans="2:2" x14ac:dyDescent="0.35">
      <c r="B67" s="190"/>
    </row>
    <row r="68" spans="2:2" x14ac:dyDescent="0.35">
      <c r="B68" s="190"/>
    </row>
    <row r="69" spans="2:2" x14ac:dyDescent="0.35">
      <c r="B69" s="190"/>
    </row>
    <row r="70" spans="2:2" x14ac:dyDescent="0.35">
      <c r="B70" s="190"/>
    </row>
    <row r="71" spans="2:2" x14ac:dyDescent="0.35">
      <c r="B71" s="190"/>
    </row>
    <row r="72" spans="2:2" x14ac:dyDescent="0.35">
      <c r="B72" s="190"/>
    </row>
    <row r="73" spans="2:2" x14ac:dyDescent="0.35">
      <c r="B73" s="190"/>
    </row>
    <row r="74" spans="2:2" x14ac:dyDescent="0.35">
      <c r="B74" s="190"/>
    </row>
    <row r="75" spans="2:2" x14ac:dyDescent="0.35">
      <c r="B75" s="190"/>
    </row>
    <row r="76" spans="2:2" x14ac:dyDescent="0.35">
      <c r="B76" s="190"/>
    </row>
    <row r="77" spans="2:2" x14ac:dyDescent="0.35">
      <c r="B77" s="190"/>
    </row>
    <row r="78" spans="2:2" x14ac:dyDescent="0.35">
      <c r="B78" s="190"/>
    </row>
    <row r="79" spans="2:2" x14ac:dyDescent="0.35">
      <c r="B79" s="190"/>
    </row>
    <row r="80" spans="2:2" x14ac:dyDescent="0.35">
      <c r="B80" s="190"/>
    </row>
    <row r="81" spans="2:2" x14ac:dyDescent="0.35">
      <c r="B81" s="190"/>
    </row>
    <row r="82" spans="2:2" x14ac:dyDescent="0.35">
      <c r="B82" s="190"/>
    </row>
    <row r="83" spans="2:2" x14ac:dyDescent="0.35">
      <c r="B83" s="190"/>
    </row>
    <row r="84" spans="2:2" x14ac:dyDescent="0.35">
      <c r="B84" s="190"/>
    </row>
    <row r="85" spans="2:2" x14ac:dyDescent="0.35">
      <c r="B85" s="190"/>
    </row>
    <row r="86" spans="2:2" x14ac:dyDescent="0.35">
      <c r="B86" s="190"/>
    </row>
    <row r="87" spans="2:2" x14ac:dyDescent="0.35">
      <c r="B87" s="190"/>
    </row>
    <row r="88" spans="2:2" x14ac:dyDescent="0.35">
      <c r="B88" s="190"/>
    </row>
    <row r="89" spans="2:2" x14ac:dyDescent="0.35">
      <c r="B89" s="190"/>
    </row>
    <row r="90" spans="2:2" x14ac:dyDescent="0.35">
      <c r="B90" s="190"/>
    </row>
    <row r="91" spans="2:2" x14ac:dyDescent="0.35">
      <c r="B91" s="190"/>
    </row>
    <row r="92" spans="2:2" x14ac:dyDescent="0.35">
      <c r="B92" s="190"/>
    </row>
    <row r="93" spans="2:2" x14ac:dyDescent="0.35">
      <c r="B93" s="190"/>
    </row>
    <row r="94" spans="2:2" x14ac:dyDescent="0.35">
      <c r="B94" s="190"/>
    </row>
    <row r="95" spans="2:2" x14ac:dyDescent="0.35">
      <c r="B95" s="190"/>
    </row>
    <row r="96" spans="2:2" x14ac:dyDescent="0.35">
      <c r="B96" s="190"/>
    </row>
    <row r="97" spans="2:2" x14ac:dyDescent="0.35">
      <c r="B97" s="190"/>
    </row>
    <row r="98" spans="2:2" x14ac:dyDescent="0.35">
      <c r="B98" s="190"/>
    </row>
    <row r="99" spans="2:2" x14ac:dyDescent="0.35">
      <c r="B99" s="190"/>
    </row>
    <row r="100" spans="2:2" x14ac:dyDescent="0.35">
      <c r="B100" s="190"/>
    </row>
    <row r="101" spans="2:2" x14ac:dyDescent="0.35">
      <c r="B101" s="190"/>
    </row>
    <row r="102" spans="2:2" x14ac:dyDescent="0.35">
      <c r="B102" s="190"/>
    </row>
    <row r="103" spans="2:2" x14ac:dyDescent="0.35">
      <c r="B103" s="190"/>
    </row>
    <row r="104" spans="2:2" x14ac:dyDescent="0.35">
      <c r="B104" s="190"/>
    </row>
    <row r="105" spans="2:2" x14ac:dyDescent="0.35">
      <c r="B105" s="190"/>
    </row>
    <row r="106" spans="2:2" x14ac:dyDescent="0.35">
      <c r="B106" s="190"/>
    </row>
    <row r="107" spans="2:2" x14ac:dyDescent="0.35">
      <c r="B107" s="190"/>
    </row>
    <row r="108" spans="2:2" x14ac:dyDescent="0.35">
      <c r="B108" s="190"/>
    </row>
    <row r="109" spans="2:2" x14ac:dyDescent="0.35">
      <c r="B109" s="190"/>
    </row>
    <row r="110" spans="2:2" x14ac:dyDescent="0.35">
      <c r="B110"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1.890891471577838E-3</v>
      </c>
      <c r="D13" s="128">
        <f t="shared" ref="D13:AG13" si="3">(1+$C$13)^D8</f>
        <v>1.0018908914715778</v>
      </c>
      <c r="E13" s="128">
        <f t="shared" si="3"/>
        <v>1.0037853584137129</v>
      </c>
      <c r="F13" s="128">
        <f t="shared" si="3"/>
        <v>1.0056834075872321</v>
      </c>
      <c r="G13" s="128">
        <f t="shared" si="3"/>
        <v>1.007585045765746</v>
      </c>
      <c r="H13" s="128">
        <f t="shared" si="3"/>
        <v>1.009490279735674</v>
      </c>
      <c r="I13" s="128">
        <f t="shared" si="3"/>
        <v>1.0113991162962666</v>
      </c>
      <c r="J13" s="128">
        <f t="shared" si="3"/>
        <v>1.0133115622596327</v>
      </c>
      <c r="K13" s="128">
        <f t="shared" si="3"/>
        <v>1.0152276244507605</v>
      </c>
      <c r="L13" s="128">
        <f t="shared" si="3"/>
        <v>1.0171473097075447</v>
      </c>
      <c r="M13" s="128">
        <f t="shared" si="3"/>
        <v>1.019070624880809</v>
      </c>
      <c r="N13" s="128">
        <f t="shared" si="3"/>
        <v>1.0209975768343316</v>
      </c>
      <c r="O13" s="128">
        <f t="shared" si="3"/>
        <v>1.0229281724448691</v>
      </c>
      <c r="P13" s="128">
        <f t="shared" si="3"/>
        <v>1.024862418602182</v>
      </c>
      <c r="Q13" s="128">
        <f t="shared" si="3"/>
        <v>1.0268003222090571</v>
      </c>
      <c r="R13" s="128">
        <f t="shared" si="3"/>
        <v>1.0287418901813359</v>
      </c>
      <c r="S13" s="128">
        <f t="shared" si="3"/>
        <v>1.0306871294479345</v>
      </c>
      <c r="T13" s="128">
        <f t="shared" si="3"/>
        <v>1.0326360469508726</v>
      </c>
      <c r="U13" s="128">
        <f t="shared" si="3"/>
        <v>1.0345886496452958</v>
      </c>
      <c r="V13" s="128">
        <f t="shared" si="3"/>
        <v>1.0365449444995014</v>
      </c>
      <c r="W13" s="128">
        <f t="shared" si="3"/>
        <v>1.0385049384949625</v>
      </c>
      <c r="X13" s="128">
        <f t="shared" si="3"/>
        <v>1.0404686386263542</v>
      </c>
      <c r="Y13" s="128">
        <f t="shared" si="3"/>
        <v>1.0424360519015767</v>
      </c>
      <c r="Z13" s="128">
        <f t="shared" si="3"/>
        <v>1.0444071853417829</v>
      </c>
      <c r="AA13" s="128">
        <f t="shared" si="3"/>
        <v>1.0463820459814002</v>
      </c>
      <c r="AB13" s="128">
        <f t="shared" si="3"/>
        <v>1.0483606408681585</v>
      </c>
      <c r="AC13" s="128">
        <f t="shared" si="3"/>
        <v>1.0503429770631139</v>
      </c>
      <c r="AD13" s="128">
        <f t="shared" si="3"/>
        <v>1.0523290616406742</v>
      </c>
      <c r="AE13" s="128">
        <f t="shared" si="3"/>
        <v>1.0543189016886239</v>
      </c>
      <c r="AF13" s="128">
        <f t="shared" si="3"/>
        <v>1.0563125043081503</v>
      </c>
      <c r="AG13" s="128">
        <f t="shared" si="3"/>
        <v>1.0583098766138674</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263175000.00000006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131587500.00000003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4507000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8125000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8417000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175730000.00000003</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350620000.00000006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519026.27130674256</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1464597.1849767696</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991811.72814175603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1414720.7406811316</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3755840.7139545768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2585280.7273178543</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4049877.9122946239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79" t="s">
        <v>176</v>
      </c>
      <c r="C77" s="87">
        <v>11667226.829285091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507803771.54571217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546581688.73082721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519470998.37499726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558248915.56011236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19000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19000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19000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27340.578861841961</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29381.52187158486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519470998.37499726</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558248915.56011236</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538859956.96755481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538859956.96755481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17961998.565585159</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4049877.9122946239</v>
      </c>
      <c r="E111" s="149">
        <f t="shared" si="9"/>
        <v>4049877.9122946239</v>
      </c>
      <c r="F111" s="149">
        <f t="shared" si="9"/>
        <v>4049877.9122946239</v>
      </c>
      <c r="G111" s="149">
        <f t="shared" si="9"/>
        <v>4049877.9122946239</v>
      </c>
      <c r="H111" s="149">
        <f t="shared" si="9"/>
        <v>4049877.9122946239</v>
      </c>
      <c r="I111" s="149">
        <f t="shared" si="9"/>
        <v>4049877.9122946239</v>
      </c>
      <c r="J111" s="149">
        <f t="shared" si="9"/>
        <v>4049877.9122946239</v>
      </c>
      <c r="K111" s="149">
        <f t="shared" si="9"/>
        <v>4049877.9122946239</v>
      </c>
      <c r="L111" s="149">
        <f t="shared" si="9"/>
        <v>4049877.9122946239</v>
      </c>
      <c r="M111" s="149">
        <f t="shared" si="9"/>
        <v>4049877.9122946239</v>
      </c>
      <c r="N111" s="149">
        <f t="shared" si="9"/>
        <v>4049877.9122946239</v>
      </c>
      <c r="O111" s="149">
        <f t="shared" si="9"/>
        <v>4049877.9122946239</v>
      </c>
      <c r="P111" s="149">
        <f t="shared" si="9"/>
        <v>4049877.9122946239</v>
      </c>
      <c r="Q111" s="149">
        <f t="shared" si="9"/>
        <v>4049877.9122946239</v>
      </c>
      <c r="R111" s="149">
        <f t="shared" si="9"/>
        <v>4049877.9122946239</v>
      </c>
      <c r="S111" s="149">
        <f t="shared" si="9"/>
        <v>4049877.9122946239</v>
      </c>
      <c r="T111" s="149">
        <f t="shared" si="9"/>
        <v>4049877.9122946239</v>
      </c>
      <c r="U111" s="149">
        <f t="shared" si="9"/>
        <v>4049877.9122946239</v>
      </c>
      <c r="V111" s="149">
        <f t="shared" si="9"/>
        <v>4049877.9122946239</v>
      </c>
      <c r="W111" s="149">
        <f t="shared" si="9"/>
        <v>4049877.9122946239</v>
      </c>
      <c r="X111" s="149">
        <f t="shared" si="9"/>
        <v>4049877.9122946239</v>
      </c>
      <c r="Y111" s="149">
        <f t="shared" si="9"/>
        <v>4049877.9122946239</v>
      </c>
      <c r="Z111" s="149">
        <f t="shared" si="9"/>
        <v>4049877.9122946239</v>
      </c>
      <c r="AA111" s="149">
        <f t="shared" si="9"/>
        <v>4049877.9122946239</v>
      </c>
      <c r="AB111" s="149">
        <f t="shared" si="9"/>
        <v>4049877.9122946239</v>
      </c>
      <c r="AC111" s="149">
        <f t="shared" si="9"/>
        <v>4049877.9122946239</v>
      </c>
      <c r="AD111" s="149">
        <f t="shared" si="9"/>
        <v>4049877.9122946239</v>
      </c>
      <c r="AE111" s="149">
        <f t="shared" si="9"/>
        <v>4049877.9122946239</v>
      </c>
      <c r="AF111" s="149">
        <f t="shared" si="9"/>
        <v>4049877.9122946239</v>
      </c>
      <c r="AG111" s="149">
        <f t="shared" si="9"/>
        <v>4049877.9122946239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538859956.96755457</v>
      </c>
      <c r="D113" s="149">
        <f t="shared" ref="D113:AG113" si="10">$C$102</f>
        <v>17961998.565585159</v>
      </c>
      <c r="E113" s="149">
        <f t="shared" si="10"/>
        <v>17961998.565585159</v>
      </c>
      <c r="F113" s="149">
        <f t="shared" si="10"/>
        <v>17961998.565585159</v>
      </c>
      <c r="G113" s="149">
        <f t="shared" si="10"/>
        <v>17961998.565585159</v>
      </c>
      <c r="H113" s="149">
        <f t="shared" si="10"/>
        <v>17961998.565585159</v>
      </c>
      <c r="I113" s="149">
        <f t="shared" si="10"/>
        <v>17961998.565585159</v>
      </c>
      <c r="J113" s="149">
        <f t="shared" si="10"/>
        <v>17961998.565585159</v>
      </c>
      <c r="K113" s="149">
        <f t="shared" si="10"/>
        <v>17961998.565585159</v>
      </c>
      <c r="L113" s="149">
        <f t="shared" si="10"/>
        <v>17961998.565585159</v>
      </c>
      <c r="M113" s="149">
        <f t="shared" si="10"/>
        <v>17961998.565585159</v>
      </c>
      <c r="N113" s="149">
        <f t="shared" si="10"/>
        <v>17961998.565585159</v>
      </c>
      <c r="O113" s="149">
        <f t="shared" si="10"/>
        <v>17961998.565585159</v>
      </c>
      <c r="P113" s="149">
        <f t="shared" si="10"/>
        <v>17961998.565585159</v>
      </c>
      <c r="Q113" s="149">
        <f t="shared" si="10"/>
        <v>17961998.565585159</v>
      </c>
      <c r="R113" s="149">
        <f t="shared" si="10"/>
        <v>17961998.565585159</v>
      </c>
      <c r="S113" s="149">
        <f t="shared" si="10"/>
        <v>17961998.565585159</v>
      </c>
      <c r="T113" s="149">
        <f t="shared" si="10"/>
        <v>17961998.565585159</v>
      </c>
      <c r="U113" s="149">
        <f t="shared" si="10"/>
        <v>17961998.565585159</v>
      </c>
      <c r="V113" s="149">
        <f t="shared" si="10"/>
        <v>17961998.565585159</v>
      </c>
      <c r="W113" s="149">
        <f t="shared" si="10"/>
        <v>17961998.565585159</v>
      </c>
      <c r="X113" s="149">
        <f t="shared" si="10"/>
        <v>17961998.565585159</v>
      </c>
      <c r="Y113" s="149">
        <f t="shared" si="10"/>
        <v>17961998.565585159</v>
      </c>
      <c r="Z113" s="149">
        <f t="shared" si="10"/>
        <v>17961998.565585159</v>
      </c>
      <c r="AA113" s="149">
        <f t="shared" si="10"/>
        <v>17961998.565585159</v>
      </c>
      <c r="AB113" s="149">
        <f t="shared" si="10"/>
        <v>17961998.565585159</v>
      </c>
      <c r="AC113" s="149">
        <f t="shared" si="10"/>
        <v>17961998.565585159</v>
      </c>
      <c r="AD113" s="149">
        <f t="shared" si="10"/>
        <v>17961998.565585159</v>
      </c>
      <c r="AE113" s="149">
        <f t="shared" si="10"/>
        <v>17961998.565585159</v>
      </c>
      <c r="AF113" s="149">
        <f t="shared" si="10"/>
        <v>17961998.565585159</v>
      </c>
      <c r="AG113" s="149">
        <f t="shared" si="10"/>
        <v>17961998.565585159</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17961998.565585159</v>
      </c>
      <c r="E118" s="149">
        <f t="shared" ref="E118:AG118" si="13">E113+E115+E116</f>
        <v>17961998.565585159</v>
      </c>
      <c r="F118" s="149">
        <f>F113+F115+F116</f>
        <v>17961998.565585159</v>
      </c>
      <c r="G118" s="149">
        <f t="shared" si="13"/>
        <v>17961998.565585159</v>
      </c>
      <c r="H118" s="149">
        <f t="shared" si="13"/>
        <v>17961998.565585159</v>
      </c>
      <c r="I118" s="149">
        <f t="shared" si="13"/>
        <v>17961998.565585159</v>
      </c>
      <c r="J118" s="149">
        <f t="shared" si="13"/>
        <v>17961998.565585159</v>
      </c>
      <c r="K118" s="149">
        <f t="shared" si="13"/>
        <v>17961998.565585159</v>
      </c>
      <c r="L118" s="149">
        <f t="shared" si="13"/>
        <v>17961998.565585159</v>
      </c>
      <c r="M118" s="149">
        <f t="shared" si="13"/>
        <v>17961998.565585159</v>
      </c>
      <c r="N118" s="149">
        <f t="shared" si="13"/>
        <v>17961998.565585159</v>
      </c>
      <c r="O118" s="149">
        <f t="shared" si="13"/>
        <v>17961998.565585159</v>
      </c>
      <c r="P118" s="149">
        <f t="shared" si="13"/>
        <v>17961998.565585159</v>
      </c>
      <c r="Q118" s="149">
        <f t="shared" si="13"/>
        <v>17961998.565585159</v>
      </c>
      <c r="R118" s="149">
        <f t="shared" si="13"/>
        <v>17961998.565585159</v>
      </c>
      <c r="S118" s="149">
        <f t="shared" si="13"/>
        <v>17961998.565585159</v>
      </c>
      <c r="T118" s="149">
        <f t="shared" si="13"/>
        <v>17961998.565585159</v>
      </c>
      <c r="U118" s="149">
        <f t="shared" si="13"/>
        <v>17961998.565585159</v>
      </c>
      <c r="V118" s="149">
        <f t="shared" si="13"/>
        <v>17961998.565585159</v>
      </c>
      <c r="W118" s="149">
        <f t="shared" si="13"/>
        <v>17961998.565585159</v>
      </c>
      <c r="X118" s="149">
        <f t="shared" si="13"/>
        <v>17961998.565585159</v>
      </c>
      <c r="Y118" s="149">
        <f t="shared" si="13"/>
        <v>17961998.565585159</v>
      </c>
      <c r="Z118" s="149">
        <f t="shared" si="13"/>
        <v>17961998.565585159</v>
      </c>
      <c r="AA118" s="149">
        <f t="shared" si="13"/>
        <v>17961998.565585159</v>
      </c>
      <c r="AB118" s="149">
        <f t="shared" si="13"/>
        <v>17961998.565585159</v>
      </c>
      <c r="AC118" s="149">
        <f t="shared" si="13"/>
        <v>17961998.565585159</v>
      </c>
      <c r="AD118" s="149">
        <f t="shared" si="13"/>
        <v>17961998.565585159</v>
      </c>
      <c r="AE118" s="149">
        <f t="shared" si="13"/>
        <v>17961998.565585159</v>
      </c>
      <c r="AF118" s="149">
        <f t="shared" si="13"/>
        <v>17961998.565585159</v>
      </c>
      <c r="AG118" s="149">
        <f t="shared" si="13"/>
        <v>17961998.565585159</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431087.9655740438</v>
      </c>
      <c r="E120" s="149">
        <f>(SUM($D$118:E118)*$C$104/$C$106)+(SUM($D$118:E118)*$C$105/$C$107)</f>
        <v>862175.93114808761</v>
      </c>
      <c r="F120" s="149">
        <f>(SUM($D$118:F118)*$C$104/$C$106)+(SUM($D$118:F118)*$C$105/$C$107)</f>
        <v>1293263.8967221314</v>
      </c>
      <c r="G120" s="149">
        <f>(SUM($D$118:G118)*$C$104/$C$106)+(SUM($D$118:G118)*$C$105/$C$107)</f>
        <v>1724351.8622961752</v>
      </c>
      <c r="H120" s="149">
        <f>(SUM($D$118:H118)*$C$104/$C$106)+(SUM($D$118:H118)*$C$105/$C$107)</f>
        <v>2155439.827870219</v>
      </c>
      <c r="I120" s="149">
        <f>(SUM($D$118:I118)*$C$104/$C$106)+(SUM($D$118:I118)*$C$105/$C$107)</f>
        <v>2586527.7934442628</v>
      </c>
      <c r="J120" s="149">
        <f>(SUM($D$118:J118)*$C$104/$C$106)+(SUM($D$118:J118)*$C$105/$C$107)</f>
        <v>3017615.7590183076</v>
      </c>
      <c r="K120" s="149">
        <f>(SUM($D$118:K118)*$C$104/$C$106)+(SUM($D$118:K118)*$C$105/$C$107)</f>
        <v>3448703.7245923514</v>
      </c>
      <c r="L120" s="149">
        <f>(SUM($D$118:L118)*$C$104/$C$106)+(SUM($D$118:L118)*$C$105/$C$107)</f>
        <v>3879791.6901663952</v>
      </c>
      <c r="M120" s="149">
        <f>(SUM($D$118:M118)*$C$104/$C$106)+(SUM($D$118:M118)*$C$105/$C$107)</f>
        <v>4310879.655740439</v>
      </c>
      <c r="N120" s="149">
        <f>(SUM($D$118:N118)*$C$104/$C$106)+(SUM($D$118:N118)*$C$105/$C$107)</f>
        <v>4741967.6213144828</v>
      </c>
      <c r="O120" s="149">
        <f>(SUM($D$118:O118)*$C$104/$C$106)+(SUM($D$118:O118)*$C$105/$C$107)</f>
        <v>5173055.5868885266</v>
      </c>
      <c r="P120" s="149">
        <f>(SUM($D$118:P118)*$C$104/$C$106)+(SUM($D$118:P118)*$C$105/$C$107)</f>
        <v>5604143.5524625713</v>
      </c>
      <c r="Q120" s="149">
        <f>(SUM($D$118:Q118)*$C$104/$C$106)+(SUM($D$118:Q118)*$C$105/$C$107)</f>
        <v>6035231.5180366151</v>
      </c>
      <c r="R120" s="149">
        <f>(SUM($D$118:R118)*$C$104/$C$106)+(SUM($D$118:R118)*$C$105/$C$107)</f>
        <v>6466319.4836106589</v>
      </c>
      <c r="S120" s="149">
        <f>(SUM($D$118:S118)*$C$104/$C$106)+(SUM($D$118:S118)*$C$105/$C$107)</f>
        <v>6897407.4491847027</v>
      </c>
      <c r="T120" s="149">
        <f>(SUM($D$118:T118)*$C$104/$C$106)+(SUM($D$118:T118)*$C$105/$C$107)</f>
        <v>7328495.4147587456</v>
      </c>
      <c r="U120" s="149">
        <f>(SUM($D$118:U118)*$C$104/$C$106)+(SUM($D$118:U118)*$C$105/$C$107)</f>
        <v>7759583.3803327885</v>
      </c>
      <c r="V120" s="149">
        <f>(SUM($D$118:V118)*$C$104/$C$106)+(SUM($D$118:V118)*$C$105/$C$107)</f>
        <v>8190671.3459068323</v>
      </c>
      <c r="W120" s="149">
        <f>(SUM($D$118:W118)*$C$104/$C$106)+(SUM($D$118:W118)*$C$105/$C$107)</f>
        <v>8621759.3114808761</v>
      </c>
      <c r="X120" s="149">
        <f>(SUM($D$118:X118)*$C$104/$C$106)+(SUM($D$118:X118)*$C$105/$C$107)</f>
        <v>9052847.2770549189</v>
      </c>
      <c r="Y120" s="149">
        <f>(SUM($D$118:Y118)*$C$104/$C$106)+(SUM($D$118:Y118)*$C$105/$C$107)</f>
        <v>9483935.2426289618</v>
      </c>
      <c r="Z120" s="149">
        <f>(SUM($D$118:Z118)*$C$104/$C$106)+(SUM($D$118:Z118)*$C$105/$C$107)</f>
        <v>9915023.2082030047</v>
      </c>
      <c r="AA120" s="149">
        <f>(SUM($D$118:AA118)*$C$104/$C$106)+(SUM($D$118:AA118)*$C$105/$C$107)</f>
        <v>10346111.173777049</v>
      </c>
      <c r="AB120" s="149">
        <f>(SUM($D$118:AB118)*$C$104/$C$106)+(SUM($D$118:AB118)*$C$105/$C$107)</f>
        <v>10777199.13935109</v>
      </c>
      <c r="AC120" s="149">
        <f>(SUM($D$118:AC118)*$C$104/$C$106)+(SUM($D$118:AC118)*$C$105/$C$107)</f>
        <v>11208287.104925135</v>
      </c>
      <c r="AD120" s="149">
        <f>(SUM($D$118:AD118)*$C$104/$C$106)+(SUM($D$118:AD118)*$C$105/$C$107)</f>
        <v>11639375.070499176</v>
      </c>
      <c r="AE120" s="149">
        <f>(SUM($D$118:AE118)*$C$104/$C$106)+(SUM($D$118:AE118)*$C$105/$C$107)</f>
        <v>12070463.036073223</v>
      </c>
      <c r="AF120" s="149">
        <f>(SUM($D$118:AF118)*$C$104/$C$106)+(SUM($D$118:AF118)*$C$105/$C$107)</f>
        <v>12501551.001647264</v>
      </c>
      <c r="AG120" s="149">
        <f>(SUM($D$118:AG118)*$C$104/$C$106)+(SUM($D$118:AG118)*$C$105/$C$107)</f>
        <v>12932638.96722131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538859.95696755475</v>
      </c>
      <c r="E122" s="72">
        <f>(SUM($D$118:E118)*$C$109)</f>
        <v>1077719.9139351095</v>
      </c>
      <c r="F122" s="72">
        <f>(SUM($D$118:F118)*$C$109)</f>
        <v>1616579.8709026643</v>
      </c>
      <c r="G122" s="72">
        <f>(SUM($D$118:G118)*$C$109)</f>
        <v>2155439.827870219</v>
      </c>
      <c r="H122" s="72">
        <f>(SUM($D$118:H118)*$C$109)</f>
        <v>2694299.784837774</v>
      </c>
      <c r="I122" s="72">
        <f>(SUM($D$118:I118)*$C$109)</f>
        <v>3233159.741805329</v>
      </c>
      <c r="J122" s="72">
        <f>(SUM($D$118:J118)*$C$109)</f>
        <v>3772019.698772884</v>
      </c>
      <c r="K122" s="72">
        <f>(SUM($D$118:K118)*$C$109)</f>
        <v>4310879.655740439</v>
      </c>
      <c r="L122" s="72">
        <f>(SUM($D$118:L118)*$C$109)</f>
        <v>4849739.6127079939</v>
      </c>
      <c r="M122" s="72">
        <f>(SUM($D$118:M118)*$C$109)</f>
        <v>5388599.5696755489</v>
      </c>
      <c r="N122" s="72">
        <f>(SUM($D$118:N118)*$C$109)</f>
        <v>5927459.5266431039</v>
      </c>
      <c r="O122" s="72">
        <f>(SUM($D$118:O118)*$C$109)</f>
        <v>6466319.4836106589</v>
      </c>
      <c r="P122" s="72">
        <f>(SUM($D$118:P118)*$C$109)</f>
        <v>7005179.4405782139</v>
      </c>
      <c r="Q122" s="72">
        <f>(SUM($D$118:Q118)*$C$109)</f>
        <v>7544039.3975457689</v>
      </c>
      <c r="R122" s="72">
        <f>(SUM($D$118:R118)*$C$109)</f>
        <v>8082899.3545133239</v>
      </c>
      <c r="S122" s="72">
        <f>(SUM($D$118:S118)*$C$109)</f>
        <v>8621759.3114808779</v>
      </c>
      <c r="T122" s="72">
        <f>(SUM($D$118:T118)*$C$109)</f>
        <v>9160619.268448431</v>
      </c>
      <c r="U122" s="72">
        <f>(SUM($D$118:U118)*$C$109)</f>
        <v>9699479.225415986</v>
      </c>
      <c r="V122" s="72">
        <f>(SUM($D$118:V118)*$C$109)</f>
        <v>10238339.182383539</v>
      </c>
      <c r="W122" s="72">
        <f>(SUM($D$118:W118)*$C$109)</f>
        <v>10777199.139351094</v>
      </c>
      <c r="X122" s="72">
        <f>(SUM($D$118:X118)*$C$109)</f>
        <v>11316059.096318647</v>
      </c>
      <c r="Y122" s="72">
        <f>(SUM($D$118:Y118)*$C$109)</f>
        <v>11854919.053286202</v>
      </c>
      <c r="Z122" s="72">
        <f>(SUM($D$118:Z118)*$C$109)</f>
        <v>12393779.010253755</v>
      </c>
      <c r="AA122" s="72">
        <f>(SUM($D$118:AA118)*$C$109)</f>
        <v>12932638.96722131</v>
      </c>
      <c r="AB122" s="72">
        <f>(SUM($D$118:AB118)*$C$109)</f>
        <v>13471498.924188863</v>
      </c>
      <c r="AC122" s="72">
        <f>(SUM($D$118:AC118)*$C$109)</f>
        <v>14010358.881156418</v>
      </c>
      <c r="AD122" s="72">
        <f>(SUM($D$118:AD118)*$C$109)</f>
        <v>14549218.838123972</v>
      </c>
      <c r="AE122" s="72">
        <f>(SUM($D$118:AE118)*$C$109)</f>
        <v>15088078.795091527</v>
      </c>
      <c r="AF122" s="72">
        <f>(SUM($D$118:AF118)*$C$109)</f>
        <v>15626938.75205908</v>
      </c>
      <c r="AG122" s="72">
        <f>(SUM($D$118:AG118)*$C$109)</f>
        <v>16165798.709026637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19000</v>
      </c>
      <c r="D126" s="140"/>
    </row>
    <row r="127" spans="1:33" x14ac:dyDescent="0.35">
      <c r="A127" s="77" t="s">
        <v>151</v>
      </c>
      <c r="B127" s="77" t="s">
        <v>133</v>
      </c>
      <c r="C127" s="126">
        <v>19000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19000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7037.0370370370365</v>
      </c>
      <c r="D135" s="157">
        <f t="shared" ref="D135:AG135" si="14">$C$135*D13</f>
        <v>7050.3433103555471</v>
      </c>
      <c r="E135" s="157">
        <f t="shared" si="14"/>
        <v>7063.6747443927934</v>
      </c>
      <c r="F135" s="157">
        <f t="shared" si="14"/>
        <v>7077.0313867249661</v>
      </c>
      <c r="G135" s="157">
        <f t="shared" si="14"/>
        <v>7090.4132850182123</v>
      </c>
      <c r="H135" s="157">
        <f t="shared" si="14"/>
        <v>7103.8204870288164</v>
      </c>
      <c r="I135" s="157">
        <f t="shared" si="14"/>
        <v>7117.2530406033566</v>
      </c>
      <c r="J135" s="157">
        <f t="shared" si="14"/>
        <v>7130.7109936788966</v>
      </c>
      <c r="K135" s="157">
        <f t="shared" si="14"/>
        <v>7144.1943942831294</v>
      </c>
      <c r="L135" s="157">
        <f t="shared" si="14"/>
        <v>7157.7032905345732</v>
      </c>
      <c r="M135" s="157">
        <f t="shared" si="14"/>
        <v>7171.2377306427297</v>
      </c>
      <c r="N135" s="157">
        <f t="shared" si="14"/>
        <v>7184.7977629082588</v>
      </c>
      <c r="O135" s="157">
        <f t="shared" si="14"/>
        <v>7198.3834357231526</v>
      </c>
      <c r="P135" s="157">
        <f t="shared" si="14"/>
        <v>7211.9947975709092</v>
      </c>
      <c r="Q135" s="157">
        <f t="shared" si="14"/>
        <v>7225.6318970266975</v>
      </c>
      <c r="R135" s="157">
        <f t="shared" si="14"/>
        <v>7239.2947827575481</v>
      </c>
      <c r="S135" s="157">
        <f t="shared" si="14"/>
        <v>7252.9835035225015</v>
      </c>
      <c r="T135" s="157">
        <f t="shared" si="14"/>
        <v>7266.6981081728072</v>
      </c>
      <c r="U135" s="157">
        <f t="shared" si="14"/>
        <v>7280.4386456520815</v>
      </c>
      <c r="V135" s="157">
        <f t="shared" si="14"/>
        <v>7294.2051649964906</v>
      </c>
      <c r="W135" s="157">
        <f t="shared" si="14"/>
        <v>7307.9977153349209</v>
      </c>
      <c r="X135" s="157">
        <f t="shared" si="14"/>
        <v>7321.8163458891586</v>
      </c>
      <c r="Y135" s="157">
        <f t="shared" si="14"/>
        <v>7335.661105974058</v>
      </c>
      <c r="Z135" s="157">
        <f t="shared" si="14"/>
        <v>7349.5320449977307</v>
      </c>
      <c r="AA135" s="157">
        <f t="shared" si="14"/>
        <v>7363.4292124617041</v>
      </c>
      <c r="AB135" s="157">
        <f t="shared" si="14"/>
        <v>7377.3526579611153</v>
      </c>
      <c r="AC135" s="157">
        <f t="shared" si="14"/>
        <v>7391.3024311848749</v>
      </c>
      <c r="AD135" s="157">
        <f t="shared" si="14"/>
        <v>7405.2785819158553</v>
      </c>
      <c r="AE135" s="157">
        <f t="shared" si="14"/>
        <v>7419.2811600310561</v>
      </c>
      <c r="AF135" s="157">
        <f t="shared" si="14"/>
        <v>7433.3102155017978</v>
      </c>
      <c r="AG135" s="157">
        <f t="shared" si="14"/>
        <v>7447.3657983938811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0.35</v>
      </c>
      <c r="F4" s="65">
        <v>0.35</v>
      </c>
      <c r="G4" s="65">
        <v>0.35</v>
      </c>
      <c r="H4" s="65">
        <v>0.32</v>
      </c>
      <c r="I4" s="65">
        <v>0.22</v>
      </c>
      <c r="J4" s="65">
        <v>0.14000000000000001</v>
      </c>
      <c r="K4" s="65">
        <v>0.1</v>
      </c>
      <c r="L4" s="65">
        <v>0.08</v>
      </c>
      <c r="M4" s="65">
        <v>7.0000000000000007E-2</v>
      </c>
      <c r="N4" s="65">
        <v>7.0000000000000007E-2</v>
      </c>
      <c r="O4" s="65">
        <v>0.06</v>
      </c>
      <c r="P4" s="65">
        <v>0.06</v>
      </c>
      <c r="Q4" s="65">
        <v>0.05</v>
      </c>
      <c r="R4" s="65">
        <v>0.05</v>
      </c>
      <c r="S4" s="65">
        <v>0.05</v>
      </c>
      <c r="T4" s="65">
        <v>0.05</v>
      </c>
      <c r="U4" s="65">
        <v>0.05</v>
      </c>
      <c r="V4" s="65">
        <v>0.05</v>
      </c>
      <c r="W4" s="65">
        <v>0.05</v>
      </c>
      <c r="X4" s="65">
        <v>0.05</v>
      </c>
      <c r="Y4" s="65">
        <v>0.05</v>
      </c>
      <c r="Z4" s="65">
        <v>0.05</v>
      </c>
      <c r="AA4" s="65">
        <v>0.05</v>
      </c>
      <c r="AB4" s="65">
        <v>0.05</v>
      </c>
      <c r="AC4" s="65">
        <v>0.04</v>
      </c>
      <c r="AD4" s="65">
        <v>0.04</v>
      </c>
      <c r="AE4" s="65">
        <v>3.5000000000000003E-2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2.5050139456568816</v>
      </c>
      <c r="C6" s="25"/>
      <c r="D6" s="25"/>
      <c r="E6" s="27">
        <f>'Debt worksheet'!C5/'Profit and Loss'!C5</f>
        <v>0.41011909619326387</v>
      </c>
      <c r="F6" s="28">
        <f ca="1">'Debt worksheet'!D5/'Profit and Loss'!D5</f>
        <v>1.8020405631039365</v>
      </c>
      <c r="G6" s="28">
        <f ca="1">'Debt worksheet'!E5/'Profit and Loss'!E5</f>
        <v>2.3830912687571373</v>
      </c>
      <c r="H6" s="28">
        <f ca="1">'Debt worksheet'!F5/'Profit and Loss'!F5</f>
        <v>2.5015378711542815</v>
      </c>
      <c r="I6" s="28">
        <f ca="1">'Debt worksheet'!G5/'Profit and Loss'!G5</f>
        <v>2.5015087722542693</v>
      </c>
      <c r="J6" s="28">
        <f ca="1">'Debt worksheet'!H5/'Profit and Loss'!H5</f>
        <v>2.5004528414991363</v>
      </c>
      <c r="K6" s="28">
        <f ca="1">'Debt worksheet'!I5/'Profit and Loss'!I5</f>
        <v>2.5026747280489179</v>
      </c>
      <c r="L6" s="28">
        <f ca="1">'Debt worksheet'!J5/'Profit and Loss'!J5</f>
        <v>2.5050139456568816</v>
      </c>
      <c r="M6" s="28">
        <f ca="1">'Debt worksheet'!K5/'Profit and Loss'!K5</f>
        <v>2.5043388418233641</v>
      </c>
      <c r="N6" s="28">
        <f ca="1">'Debt worksheet'!L5/'Profit and Loss'!L5</f>
        <v>2.4867989597593456</v>
      </c>
      <c r="O6" s="28">
        <f ca="1">'Debt worksheet'!M5/'Profit and Loss'!M5</f>
        <v>2.4756651270188232</v>
      </c>
      <c r="P6" s="28">
        <f ca="1">'Debt worksheet'!N5/'Profit and Loss'!N5</f>
        <v>2.4564574274699607</v>
      </c>
      <c r="Q6" s="28">
        <f ca="1">'Debt worksheet'!O5/'Profit and Loss'!O5</f>
        <v>2.4519467937970512</v>
      </c>
      <c r="R6" s="28">
        <f ca="1">'Debt worksheet'!P5/'Profit and Loss'!P5</f>
        <v>2.4476024093723914</v>
      </c>
      <c r="S6" s="28">
        <f ca="1">'Debt worksheet'!Q5/'Profit and Loss'!Q5</f>
        <v>2.442853331712791</v>
      </c>
      <c r="T6" s="28">
        <f ca="1">'Debt worksheet'!R5/'Profit and Loss'!R5</f>
        <v>2.4371654176110318</v>
      </c>
      <c r="U6" s="28">
        <f ca="1">'Debt worksheet'!S5/'Profit and Loss'!S5</f>
        <v>2.4300396826462376</v>
      </c>
      <c r="V6" s="28">
        <f ca="1">'Debt worksheet'!T5/'Profit and Loss'!T5</f>
        <v>2.4210107236349407</v>
      </c>
      <c r="W6" s="28">
        <f ca="1">'Debt worksheet'!U5/'Profit and Loss'!U5</f>
        <v>2.4096452017860899</v>
      </c>
      <c r="X6" s="28">
        <f ca="1">'Debt worksheet'!V5/'Profit and Loss'!V5</f>
        <v>2.3955403843993235</v>
      </c>
      <c r="Y6" s="28">
        <f ca="1">'Debt worksheet'!W5/'Profit and Loss'!W5</f>
        <v>2.3783227430193636</v>
      </c>
      <c r="Z6" s="28">
        <f ca="1">'Debt worksheet'!X5/'Profit and Loss'!X5</f>
        <v>2.3576466060305115</v>
      </c>
      <c r="AA6" s="28">
        <f ca="1">'Debt worksheet'!Y5/'Profit and Loss'!Y5</f>
        <v>2.3331928637439696</v>
      </c>
      <c r="AB6" s="28">
        <f ca="1">'Debt worksheet'!Z5/'Profit and Loss'!Z5</f>
        <v>2.3046677240972038</v>
      </c>
      <c r="AC6" s="28">
        <f ca="1">'Debt worksheet'!AA5/'Profit and Loss'!AA5</f>
        <v>2.2936457625060229</v>
      </c>
      <c r="AD6" s="28">
        <f ca="1">'Debt worksheet'!AB5/'Profit and Loss'!AB5</f>
        <v>2.2870851578165938</v>
      </c>
      <c r="AE6" s="28">
        <f ca="1">'Debt worksheet'!AC5/'Profit and Loss'!AC5</f>
        <v>2.2956891160109798</v>
      </c>
      <c r="AF6" s="28">
        <f ca="1">'Debt worksheet'!AD5/'Profit and Loss'!AD5</f>
        <v>2.3424135441237079</v>
      </c>
      <c r="AG6" s="28">
        <f ca="1">'Debt worksheet'!AE5/'Profit and Loss'!AE5</f>
        <v>2.4115026905494528</v>
      </c>
      <c r="AH6" s="28">
        <f ca="1">'Debt worksheet'!AF5/'Profit and Loss'!AF5</f>
        <v>2.5033740486824296</v>
      </c>
      <c r="AI6" s="31"/>
    </row>
    <row r="7" spans="1:35" ht="21" x14ac:dyDescent="0.5">
      <c r="A7" s="19" t="s">
        <v>38</v>
      </c>
      <c r="B7" s="26">
        <f ca="1">MIN('Price and Financial ratios'!E7:AH7)</f>
        <v>0.12083692457689169</v>
      </c>
      <c r="C7" s="26"/>
      <c r="D7" s="26"/>
      <c r="E7" s="56">
        <f ca="1">'Cash Flow'!C7/'Debt worksheet'!C5</f>
        <v>0.19588439552448561</v>
      </c>
      <c r="F7" s="32">
        <f ca="1">'Cash Flow'!D7/'Debt worksheet'!D5</f>
        <v>0.12083692457689169</v>
      </c>
      <c r="G7" s="32">
        <f ca="1">'Cash Flow'!E7/'Debt worksheet'!E5</f>
        <v>0.14641546975705025</v>
      </c>
      <c r="H7" s="32">
        <f ca="1">'Cash Flow'!F7/'Debt worksheet'!F5</f>
        <v>0.18250974940357817</v>
      </c>
      <c r="I7" s="32">
        <f ca="1">'Cash Flow'!G7/'Debt worksheet'!G5</f>
        <v>0.20631453644046818</v>
      </c>
      <c r="J7" s="32">
        <f ca="1">'Cash Flow'!H7/'Debt worksheet'!H5</f>
        <v>0.21711068579406209</v>
      </c>
      <c r="K7" s="32">
        <f ca="1">'Cash Flow'!I7/'Debt worksheet'!I5</f>
        <v>0.2217405556425065</v>
      </c>
      <c r="L7" s="32">
        <f ca="1">'Cash Flow'!J7/'Debt worksheet'!J5</f>
        <v>0.22369428113648065</v>
      </c>
      <c r="M7" s="17">
        <f ca="1">'Cash Flow'!K7/'Debt worksheet'!K5</f>
        <v>0.22477726847302099</v>
      </c>
      <c r="N7" s="17">
        <f ca="1">'Cash Flow'!L7/'Debt worksheet'!L5</f>
        <v>0.22787595270210903</v>
      </c>
      <c r="O7" s="17">
        <f ca="1">'Cash Flow'!M7/'Debt worksheet'!M5</f>
        <v>0.22910936958647918</v>
      </c>
      <c r="P7" s="17">
        <f ca="1">'Cash Flow'!N7/'Debt worksheet'!N5</f>
        <v>0.23144160535058875</v>
      </c>
      <c r="Q7" s="17">
        <f ca="1">'Cash Flow'!O7/'Debt worksheet'!O5</f>
        <v>0.23092113128400604</v>
      </c>
      <c r="R7" s="17">
        <f ca="1">'Cash Flow'!P7/'Debt worksheet'!P5</f>
        <v>0.23055992846259452</v>
      </c>
      <c r="S7" s="17">
        <f ca="1">'Cash Flow'!Q7/'Debt worksheet'!Q5</f>
        <v>0.23041188933741497</v>
      </c>
      <c r="T7" s="17">
        <f ca="1">'Cash Flow'!R7/'Debt worksheet'!R5</f>
        <v>0.23052766579106507</v>
      </c>
      <c r="U7" s="17">
        <f ca="1">'Cash Flow'!S7/'Debt worksheet'!S5</f>
        <v>0.23095547146857537</v>
      </c>
      <c r="V7" s="17">
        <f ca="1">'Cash Flow'!T7/'Debt worksheet'!T5</f>
        <v>0.23174202942741665</v>
      </c>
      <c r="W7" s="17">
        <f ca="1">'Cash Flow'!U7/'Debt worksheet'!U5</f>
        <v>0.23293364317441839</v>
      </c>
      <c r="X7" s="17">
        <f ca="1">'Cash Flow'!V7/'Debt worksheet'!V5</f>
        <v>0.23457738494547084</v>
      </c>
      <c r="Y7" s="17">
        <f ca="1">'Cash Flow'!W7/'Debt worksheet'!W5</f>
        <v>0.23672241120031504</v>
      </c>
      <c r="Z7" s="17">
        <f ca="1">'Cash Flow'!X7/'Debt worksheet'!X5</f>
        <v>0.23942143221061177</v>
      </c>
      <c r="AA7" s="17">
        <f ca="1">'Cash Flow'!Y7/'Debt worksheet'!Y5</f>
        <v>0.24273238132481589</v>
      </c>
      <c r="AB7" s="17">
        <f ca="1">'Cash Flow'!Z7/'Debt worksheet'!Z5</f>
        <v>0.24672035160385808</v>
      </c>
      <c r="AC7" s="17">
        <f ca="1">'Cash Flow'!AA7/'Debt worksheet'!AA5</f>
        <v>0.24711566348088365</v>
      </c>
      <c r="AD7" s="17">
        <f ca="1">'Cash Flow'!AB7/'Debt worksheet'!AB5</f>
        <v>0.24705615842011355</v>
      </c>
      <c r="AE7" s="17">
        <f ca="1">'Cash Flow'!AC7/'Debt worksheet'!AC5</f>
        <v>0.24439565450460418</v>
      </c>
      <c r="AF7" s="17">
        <f ca="1">'Cash Flow'!AD7/'Debt worksheet'!AD5</f>
        <v>0.23515904066956267</v>
      </c>
      <c r="AG7" s="17">
        <f ca="1">'Cash Flow'!AE7/'Debt worksheet'!AE5</f>
        <v>0.22385898456993786</v>
      </c>
      <c r="AH7" s="17">
        <f ca="1">'Cash Flow'!AF7/'Debt worksheet'!AF5</f>
        <v>0.21092797088573514</v>
      </c>
      <c r="AI7" s="29"/>
    </row>
    <row r="8" spans="1:35" ht="21" x14ac:dyDescent="0.5">
      <c r="A8" s="19" t="s">
        <v>33</v>
      </c>
      <c r="B8" s="26">
        <f ca="1">MAX('Price and Financial ratios'!E8:AH8)</f>
        <v>0.46382669499582818</v>
      </c>
      <c r="C8" s="26"/>
      <c r="D8" s="176"/>
      <c r="E8" s="17">
        <f>'Balance Sheet'!B11/'Balance Sheet'!B8</f>
        <v>3.5498491025871333E-2</v>
      </c>
      <c r="F8" s="17">
        <f ca="1">'Balance Sheet'!C11/'Balance Sheet'!C8</f>
        <v>0.21845116055508867</v>
      </c>
      <c r="G8" s="17">
        <f ca="1">'Balance Sheet'!D11/'Balance Sheet'!D8</f>
        <v>0.33953888871930199</v>
      </c>
      <c r="H8" s="17">
        <f ca="1">'Balance Sheet'!E11/'Balance Sheet'!E8</f>
        <v>0.41525062083477987</v>
      </c>
      <c r="I8" s="17">
        <f ca="1">'Balance Sheet'!F11/'Balance Sheet'!F8</f>
        <v>0.45206918630130488</v>
      </c>
      <c r="J8" s="17">
        <f ca="1">'Balance Sheet'!G11/'Balance Sheet'!G8</f>
        <v>0.46382669499582818</v>
      </c>
      <c r="K8" s="17">
        <f ca="1">'Balance Sheet'!H11/'Balance Sheet'!H8</f>
        <v>0.46323394008836627</v>
      </c>
      <c r="L8" s="17">
        <f ca="1">'Balance Sheet'!I11/'Balance Sheet'!I8</f>
        <v>0.45712053012486276</v>
      </c>
      <c r="M8" s="17">
        <f ca="1">'Balance Sheet'!J11/'Balance Sheet'!J8</f>
        <v>0.44878490386042069</v>
      </c>
      <c r="N8" s="17">
        <f ca="1">'Balance Sheet'!K11/'Balance Sheet'!K8</f>
        <v>0.43967772485091494</v>
      </c>
      <c r="O8" s="17">
        <f ca="1">'Balance Sheet'!L11/'Balance Sheet'!L8</f>
        <v>0.42955992836591611</v>
      </c>
      <c r="P8" s="17">
        <f ca="1">'Balance Sheet'!M11/'Balance Sheet'!M8</f>
        <v>0.41979288140841675</v>
      </c>
      <c r="Q8" s="17">
        <f ca="1">'Balance Sheet'!N11/'Balance Sheet'!N8</f>
        <v>0.41010390601352126</v>
      </c>
      <c r="R8" s="17">
        <f ca="1">'Balance Sheet'!O11/'Balance Sheet'!O8</f>
        <v>0.40180187339656992</v>
      </c>
      <c r="S8" s="17">
        <f ca="1">'Balance Sheet'!P11/'Balance Sheet'!P8</f>
        <v>0.3946041825997979</v>
      </c>
      <c r="T8" s="17">
        <f ca="1">'Balance Sheet'!Q11/'Balance Sheet'!Q8</f>
        <v>0.38827488954792172</v>
      </c>
      <c r="U8" s="17">
        <f ca="1">'Balance Sheet'!R11/'Balance Sheet'!R8</f>
        <v>0.3826141530638526</v>
      </c>
      <c r="V8" s="17">
        <f ca="1">'Balance Sheet'!S11/'Balance Sheet'!S8</f>
        <v>0.37745036590257552</v>
      </c>
      <c r="W8" s="17">
        <f ca="1">'Balance Sheet'!T11/'Balance Sheet'!T8</f>
        <v>0.37263420498762378</v>
      </c>
      <c r="X8" s="17">
        <f ca="1">'Balance Sheet'!U11/'Balance Sheet'!U8</f>
        <v>0.3680340748655519</v>
      </c>
      <c r="Y8" s="17">
        <f ca="1">'Balance Sheet'!V11/'Balance Sheet'!V8</f>
        <v>0.36353257691054802</v>
      </c>
      <c r="Z8" s="17">
        <f ca="1">'Balance Sheet'!W11/'Balance Sheet'!W8</f>
        <v>0.35902374353440925</v>
      </c>
      <c r="AA8" s="17">
        <f ca="1">'Balance Sheet'!X11/'Balance Sheet'!X8</f>
        <v>0.35441084973112474</v>
      </c>
      <c r="AB8" s="17">
        <f ca="1">'Balance Sheet'!Y11/'Balance Sheet'!Y8</f>
        <v>0.34960466509939453</v>
      </c>
      <c r="AC8" s="17">
        <f ca="1">'Balance Sheet'!Z11/'Balance Sheet'!Z8</f>
        <v>0.344522045328152</v>
      </c>
      <c r="AD8" s="17">
        <f ca="1">'Balance Sheet'!AA11/'Balance Sheet'!AA8</f>
        <v>0.34050852955796324</v>
      </c>
      <c r="AE8" s="17">
        <f ca="1">'Balance Sheet'!AB11/'Balance Sheet'!AB8</f>
        <v>0.33746207236442699</v>
      </c>
      <c r="AF8" s="17">
        <f ca="1">'Balance Sheet'!AC11/'Balance Sheet'!AC8</f>
        <v>0.33599293390315427</v>
      </c>
      <c r="AG8" s="17">
        <f ca="1">'Balance Sheet'!AD11/'Balance Sheet'!AD8</f>
        <v>0.33780253090044193</v>
      </c>
      <c r="AH8" s="17">
        <f ca="1">'Balance Sheet'!AE11/'Balance Sheet'!AE8</f>
        <v>0.34272156039889123</v>
      </c>
      <c r="AI8" s="29"/>
    </row>
    <row r="9" spans="1:35" ht="21.5" thickBot="1" x14ac:dyDescent="0.55000000000000004">
      <c r="A9" s="20" t="s">
        <v>32</v>
      </c>
      <c r="B9" s="21">
        <f ca="1">MIN('Price and Financial ratios'!E9:AH9)</f>
        <v>1.9417226774282612</v>
      </c>
      <c r="C9" s="21"/>
      <c r="D9" s="177"/>
      <c r="E9" s="21">
        <f ca="1">('Cash Flow'!C7+'Profit and Loss'!C8)/('Profit and Loss'!C8)</f>
        <v>1.9417226774282612</v>
      </c>
      <c r="F9" s="21">
        <f ca="1">('Cash Flow'!D7+'Profit and Loss'!D8)/('Profit and Loss'!D8)</f>
        <v>2.9301955471497338</v>
      </c>
      <c r="G9" s="21">
        <f ca="1">('Cash Flow'!E7+'Profit and Loss'!E8)/('Profit and Loss'!E8)</f>
        <v>4.0134095113249737</v>
      </c>
      <c r="H9" s="21">
        <f ca="1">('Cash Flow'!F7+'Profit and Loss'!F8)/('Profit and Loss'!F8)</f>
        <v>5.2662157762672912</v>
      </c>
      <c r="I9" s="21">
        <f ca="1">('Cash Flow'!G7+'Profit and Loss'!G8)/('Profit and Loss'!G8)</f>
        <v>6.1632109185959605</v>
      </c>
      <c r="J9" s="21">
        <f ca="1">('Cash Flow'!H7+'Profit and Loss'!H8)/('Profit and Loss'!H8)</f>
        <v>6.6235984348383523</v>
      </c>
      <c r="K9" s="21">
        <f ca="1">('Cash Flow'!I7+'Profit and Loss'!I8)/('Profit and Loss'!I8)</f>
        <v>6.8496133852939307</v>
      </c>
      <c r="L9" s="21">
        <f ca="1">('Cash Flow'!J7+'Profit and Loss'!J8)/('Profit and Loss'!J8)</f>
        <v>6.9634789348877009</v>
      </c>
      <c r="M9" s="21">
        <f ca="1">('Cash Flow'!K7+'Profit and Loss'!K8)/('Profit and Loss'!K8)</f>
        <v>7.0329892479831067</v>
      </c>
      <c r="N9" s="21">
        <f ca="1">('Cash Flow'!L7+'Profit and Loss'!L8)/('Profit and Loss'!L8)</f>
        <v>7.1581879185442068</v>
      </c>
      <c r="O9" s="21">
        <f ca="1">('Cash Flow'!M7+'Profit and Loss'!M8)/('Profit and Loss'!M8)</f>
        <v>7.2119960323732046</v>
      </c>
      <c r="P9" s="21">
        <f ca="1">('Cash Flow'!N7+'Profit and Loss'!N8)/('Profit and Loss'!N8)</f>
        <v>7.2974084305393196</v>
      </c>
      <c r="Q9" s="21">
        <f ca="1">('Cash Flow'!O7+'Profit and Loss'!O8)/('Profit and Loss'!O8)</f>
        <v>7.2828410791265279</v>
      </c>
      <c r="R9" s="21">
        <f ca="1">('Cash Flow'!P7+'Profit and Loss'!P8)/('Profit and Loss'!P8)</f>
        <v>7.2740725480191797</v>
      </c>
      <c r="S9" s="21">
        <f ca="1">('Cash Flow'!Q7+'Profit and Loss'!Q8)/('Profit and Loss'!Q8)</f>
        <v>7.2724830896729156</v>
      </c>
      <c r="T9" s="21">
        <f ca="1">('Cash Flow'!R7+'Profit and Loss'!R8)/('Profit and Loss'!R8)</f>
        <v>7.2793822705808289</v>
      </c>
      <c r="U9" s="21">
        <f ca="1">('Cash Flow'!S7+'Profit and Loss'!S8)/('Profit and Loss'!S8)</f>
        <v>7.2960350381607224</v>
      </c>
      <c r="V9" s="21">
        <f ca="1">('Cash Flow'!T7+'Profit and Loss'!T8)/('Profit and Loss'!T8)</f>
        <v>7.3236910786595928</v>
      </c>
      <c r="W9" s="21">
        <f ca="1">('Cash Flow'!U7+'Profit and Loss'!U8)/('Profit and Loss'!U8)</f>
        <v>7.3636172772887427</v>
      </c>
      <c r="X9" s="21">
        <f ca="1">('Cash Flow'!V7+'Profit and Loss'!V8)/('Profit and Loss'!V8)</f>
        <v>7.4171335328879104</v>
      </c>
      <c r="Y9" s="21">
        <f ca="1">('Cash Flow'!W7+'Profit and Loss'!W8)/('Profit and Loss'!W8)</f>
        <v>7.4856526394928062</v>
      </c>
      <c r="Z9" s="21">
        <f ca="1">('Cash Flow'!X7+'Profit and Loss'!X8)/('Profit and Loss'!X8)</f>
        <v>7.5707254535179116</v>
      </c>
      <c r="AA9" s="21">
        <f ca="1">('Cash Flow'!Y7+'Profit and Loss'!Y8)/('Profit and Loss'!Y8)</f>
        <v>7.6740931611876269</v>
      </c>
      <c r="AB9" s="21">
        <f ca="1">('Cash Flow'!Z7+'Profit and Loss'!Z8)/('Profit and Loss'!Z8)</f>
        <v>7.7977492100035715</v>
      </c>
      <c r="AC9" s="21">
        <f ca="1">('Cash Flow'!AA7+'Profit and Loss'!AA8)/('Profit and Loss'!AA8)</f>
        <v>7.7955165054978037</v>
      </c>
      <c r="AD9" s="21">
        <f ca="1">('Cash Flow'!AB7+'Profit and Loss'!AB8)/('Profit and Loss'!AB8)</f>
        <v>7.7816617087459541</v>
      </c>
      <c r="AE9" s="21">
        <f ca="1">('Cash Flow'!AC7+'Profit and Loss'!AC8)/('Profit and Loss'!AC8)</f>
        <v>7.6834948211149587</v>
      </c>
      <c r="AF9" s="21">
        <f ca="1">('Cash Flow'!AD7+'Profit and Loss'!AD8)/('Profit and Loss'!AD8)</f>
        <v>7.3737955857557109</v>
      </c>
      <c r="AG9" s="21">
        <f ca="1">('Cash Flow'!AE7+'Profit and Loss'!AE8)/('Profit and Loss'!AE8)</f>
        <v>7.0172376747684844</v>
      </c>
      <c r="AH9" s="21">
        <f ca="1">('Cash Flow'!AF7+'Profit and Loss'!AF8)/('Profit and Loss'!AF8)</f>
        <v>6.6269869296885231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4049877.9122946239</v>
      </c>
      <c r="D5" s="1">
        <f>Assumptions!E111</f>
        <v>4049877.9122946239</v>
      </c>
      <c r="E5" s="1">
        <f>Assumptions!F111</f>
        <v>4049877.9122946239</v>
      </c>
      <c r="F5" s="1">
        <f>Assumptions!G111</f>
        <v>4049877.9122946239</v>
      </c>
      <c r="G5" s="1">
        <f>Assumptions!H111</f>
        <v>4049877.9122946239</v>
      </c>
      <c r="H5" s="1">
        <f>Assumptions!I111</f>
        <v>4049877.9122946239</v>
      </c>
      <c r="I5" s="1">
        <f>Assumptions!J111</f>
        <v>4049877.9122946239</v>
      </c>
      <c r="J5" s="1">
        <f>Assumptions!K111</f>
        <v>4049877.9122946239</v>
      </c>
      <c r="K5" s="1">
        <f>Assumptions!L111</f>
        <v>4049877.9122946239</v>
      </c>
      <c r="L5" s="1">
        <f>Assumptions!M111</f>
        <v>4049877.9122946239</v>
      </c>
      <c r="M5" s="1">
        <f>Assumptions!N111</f>
        <v>4049877.9122946239</v>
      </c>
      <c r="N5" s="1">
        <f>Assumptions!O111</f>
        <v>4049877.9122946239</v>
      </c>
      <c r="O5" s="1">
        <f>Assumptions!P111</f>
        <v>4049877.9122946239</v>
      </c>
      <c r="P5" s="1">
        <f>Assumptions!Q111</f>
        <v>4049877.9122946239</v>
      </c>
      <c r="Q5" s="1">
        <f>Assumptions!R111</f>
        <v>4049877.9122946239</v>
      </c>
      <c r="R5" s="1">
        <f>Assumptions!S111</f>
        <v>4049877.9122946239</v>
      </c>
      <c r="S5" s="1">
        <f>Assumptions!T111</f>
        <v>4049877.9122946239</v>
      </c>
      <c r="T5" s="1">
        <f>Assumptions!U111</f>
        <v>4049877.9122946239</v>
      </c>
      <c r="U5" s="1">
        <f>Assumptions!V111</f>
        <v>4049877.9122946239</v>
      </c>
      <c r="V5" s="1">
        <f>Assumptions!W111</f>
        <v>4049877.9122946239</v>
      </c>
      <c r="W5" s="1">
        <f>Assumptions!X111</f>
        <v>4049877.9122946239</v>
      </c>
      <c r="X5" s="1">
        <f>Assumptions!Y111</f>
        <v>4049877.9122946239</v>
      </c>
      <c r="Y5" s="1">
        <f>Assumptions!Z111</f>
        <v>4049877.9122946239</v>
      </c>
      <c r="Z5" s="1">
        <f>Assumptions!AA111</f>
        <v>4049877.9122946239</v>
      </c>
      <c r="AA5" s="1">
        <f>Assumptions!AB111</f>
        <v>4049877.9122946239</v>
      </c>
      <c r="AB5" s="1">
        <f>Assumptions!AC111</f>
        <v>4049877.9122946239</v>
      </c>
      <c r="AC5" s="1">
        <f>Assumptions!AD111</f>
        <v>4049877.9122946239</v>
      </c>
      <c r="AD5" s="1">
        <f>Assumptions!AE111</f>
        <v>4049877.9122946239</v>
      </c>
      <c r="AE5" s="1">
        <f>Assumptions!AF111</f>
        <v>4049877.9122946239</v>
      </c>
      <c r="AF5" s="1">
        <f>Assumptions!AG111</f>
        <v>4049877.9122946239</v>
      </c>
    </row>
    <row r="6" spans="1:32" x14ac:dyDescent="0.35">
      <c r="A6" t="s">
        <v>68</v>
      </c>
      <c r="C6" s="1">
        <f>Assumptions!D113</f>
        <v>17961998.565585159</v>
      </c>
      <c r="D6" s="1">
        <f>Assumptions!E113</f>
        <v>17961998.565585159</v>
      </c>
      <c r="E6" s="1">
        <f>Assumptions!F113</f>
        <v>17961998.565585159</v>
      </c>
      <c r="F6" s="1">
        <f>Assumptions!G113</f>
        <v>17961998.565585159</v>
      </c>
      <c r="G6" s="1">
        <f>Assumptions!H113</f>
        <v>17961998.565585159</v>
      </c>
      <c r="H6" s="1">
        <f>Assumptions!I113</f>
        <v>17961998.565585159</v>
      </c>
      <c r="I6" s="1">
        <f>Assumptions!J113</f>
        <v>17961998.565585159</v>
      </c>
      <c r="J6" s="1">
        <f>Assumptions!K113</f>
        <v>17961998.565585159</v>
      </c>
      <c r="K6" s="1">
        <f>Assumptions!L113</f>
        <v>17961998.565585159</v>
      </c>
      <c r="L6" s="1">
        <f>Assumptions!M113</f>
        <v>17961998.565585159</v>
      </c>
      <c r="M6" s="1">
        <f>Assumptions!N113</f>
        <v>17961998.565585159</v>
      </c>
      <c r="N6" s="1">
        <f>Assumptions!O113</f>
        <v>17961998.565585159</v>
      </c>
      <c r="O6" s="1">
        <f>Assumptions!P113</f>
        <v>17961998.565585159</v>
      </c>
      <c r="P6" s="1">
        <f>Assumptions!Q113</f>
        <v>17961998.565585159</v>
      </c>
      <c r="Q6" s="1">
        <f>Assumptions!R113</f>
        <v>17961998.565585159</v>
      </c>
      <c r="R6" s="1">
        <f>Assumptions!S113</f>
        <v>17961998.565585159</v>
      </c>
      <c r="S6" s="1">
        <f>Assumptions!T113</f>
        <v>17961998.565585159</v>
      </c>
      <c r="T6" s="1">
        <f>Assumptions!U113</f>
        <v>17961998.565585159</v>
      </c>
      <c r="U6" s="1">
        <f>Assumptions!V113</f>
        <v>17961998.565585159</v>
      </c>
      <c r="V6" s="1">
        <f>Assumptions!W113</f>
        <v>17961998.565585159</v>
      </c>
      <c r="W6" s="1">
        <f>Assumptions!X113</f>
        <v>17961998.565585159</v>
      </c>
      <c r="X6" s="1">
        <f>Assumptions!Y113</f>
        <v>17961998.565585159</v>
      </c>
      <c r="Y6" s="1">
        <f>Assumptions!Z113</f>
        <v>17961998.565585159</v>
      </c>
      <c r="Z6" s="1">
        <f>Assumptions!AA113</f>
        <v>17961998.565585159</v>
      </c>
      <c r="AA6" s="1">
        <f>Assumptions!AB113</f>
        <v>17961998.565585159</v>
      </c>
      <c r="AB6" s="1">
        <f>Assumptions!AC113</f>
        <v>17961998.565585159</v>
      </c>
      <c r="AC6" s="1">
        <f>Assumptions!AD113</f>
        <v>17961998.565585159</v>
      </c>
      <c r="AD6" s="1">
        <f>Assumptions!AE113</f>
        <v>17961998.565585159</v>
      </c>
      <c r="AE6" s="1">
        <f>Assumptions!AF113</f>
        <v>17961998.565585159</v>
      </c>
      <c r="AF6" s="1">
        <f>Assumptions!AG113</f>
        <v>17961998.565585159</v>
      </c>
    </row>
    <row r="7" spans="1:32" x14ac:dyDescent="0.35">
      <c r="A7" t="s">
        <v>73</v>
      </c>
      <c r="C7" s="1">
        <f>Assumptions!D120</f>
        <v>431087.9655740438</v>
      </c>
      <c r="D7" s="1">
        <f>Assumptions!E120</f>
        <v>862175.93114808761</v>
      </c>
      <c r="E7" s="1">
        <f>Assumptions!F120</f>
        <v>1293263.8967221314</v>
      </c>
      <c r="F7" s="1">
        <f>Assumptions!G120</f>
        <v>1724351.8622961752</v>
      </c>
      <c r="G7" s="1">
        <f>Assumptions!H120</f>
        <v>2155439.827870219</v>
      </c>
      <c r="H7" s="1">
        <f>Assumptions!I120</f>
        <v>2586527.7934442628</v>
      </c>
      <c r="I7" s="1">
        <f>Assumptions!J120</f>
        <v>3017615.7590183076</v>
      </c>
      <c r="J7" s="1">
        <f>Assumptions!K120</f>
        <v>3448703.7245923514</v>
      </c>
      <c r="K7" s="1">
        <f>Assumptions!L120</f>
        <v>3879791.6901663952</v>
      </c>
      <c r="L7" s="1">
        <f>Assumptions!M120</f>
        <v>4310879.655740439</v>
      </c>
      <c r="M7" s="1">
        <f>Assumptions!N120</f>
        <v>4741967.6213144828</v>
      </c>
      <c r="N7" s="1">
        <f>Assumptions!O120</f>
        <v>5173055.5868885266</v>
      </c>
      <c r="O7" s="1">
        <f>Assumptions!P120</f>
        <v>5604143.5524625713</v>
      </c>
      <c r="P7" s="1">
        <f>Assumptions!Q120</f>
        <v>6035231.5180366151</v>
      </c>
      <c r="Q7" s="1">
        <f>Assumptions!R120</f>
        <v>6466319.4836106589</v>
      </c>
      <c r="R7" s="1">
        <f>Assumptions!S120</f>
        <v>6897407.4491847027</v>
      </c>
      <c r="S7" s="1">
        <f>Assumptions!T120</f>
        <v>7328495.4147587456</v>
      </c>
      <c r="T7" s="1">
        <f>Assumptions!U120</f>
        <v>7759583.3803327885</v>
      </c>
      <c r="U7" s="1">
        <f>Assumptions!V120</f>
        <v>8190671.3459068323</v>
      </c>
      <c r="V7" s="1">
        <f>Assumptions!W120</f>
        <v>8621759.3114808761</v>
      </c>
      <c r="W7" s="1">
        <f>Assumptions!X120</f>
        <v>9052847.2770549189</v>
      </c>
      <c r="X7" s="1">
        <f>Assumptions!Y120</f>
        <v>9483935.2426289618</v>
      </c>
      <c r="Y7" s="1">
        <f>Assumptions!Z120</f>
        <v>9915023.2082030047</v>
      </c>
      <c r="Z7" s="1">
        <f>Assumptions!AA120</f>
        <v>10346111.173777049</v>
      </c>
      <c r="AA7" s="1">
        <f>Assumptions!AB120</f>
        <v>10777199.13935109</v>
      </c>
      <c r="AB7" s="1">
        <f>Assumptions!AC120</f>
        <v>11208287.104925135</v>
      </c>
      <c r="AC7" s="1">
        <f>Assumptions!AD120</f>
        <v>11639375.070499176</v>
      </c>
      <c r="AD7" s="1">
        <f>Assumptions!AE120</f>
        <v>12070463.036073223</v>
      </c>
      <c r="AE7" s="1">
        <f>Assumptions!AF120</f>
        <v>12501551.001647264</v>
      </c>
      <c r="AF7" s="1">
        <f>Assumptions!AG120</f>
        <v>12932638.96722131</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4179474.005488052</v>
      </c>
      <c r="D11" s="1">
        <f>D5*D$9</f>
        <v>4313217.1736636693</v>
      </c>
      <c r="E11" s="1">
        <f t="shared" ref="D11:AF13" si="1">E5*E$9</f>
        <v>4451240.1232209066</v>
      </c>
      <c r="F11" s="1">
        <f t="shared" si="1"/>
        <v>4593679.8071639752</v>
      </c>
      <c r="G11" s="1">
        <f t="shared" si="1"/>
        <v>4740677.5609932235</v>
      </c>
      <c r="H11" s="1">
        <f t="shared" si="1"/>
        <v>4892379.2429450061</v>
      </c>
      <c r="I11" s="1">
        <f t="shared" si="1"/>
        <v>5048935.3787192451</v>
      </c>
      <c r="J11" s="1">
        <f t="shared" si="1"/>
        <v>5210501.3108382616</v>
      </c>
      <c r="K11" s="1">
        <f t="shared" si="1"/>
        <v>5377237.3527850872</v>
      </c>
      <c r="L11" s="1">
        <f t="shared" si="1"/>
        <v>5549308.9480742086</v>
      </c>
      <c r="M11" s="1">
        <f t="shared" si="1"/>
        <v>5726886.8344125831</v>
      </c>
      <c r="N11" s="1">
        <f t="shared" si="1"/>
        <v>5910147.2131137867</v>
      </c>
      <c r="O11" s="1">
        <f t="shared" si="1"/>
        <v>6099271.9239334278</v>
      </c>
      <c r="P11" s="1">
        <f t="shared" si="1"/>
        <v>6294448.6254992969</v>
      </c>
      <c r="Q11" s="1">
        <f t="shared" si="1"/>
        <v>6495870.9815152735</v>
      </c>
      <c r="R11" s="1">
        <f t="shared" si="1"/>
        <v>6703738.852923763</v>
      </c>
      <c r="S11" s="1">
        <f t="shared" si="1"/>
        <v>6918258.4962173244</v>
      </c>
      <c r="T11" s="1">
        <f t="shared" si="1"/>
        <v>7139642.7680962775</v>
      </c>
      <c r="U11" s="1">
        <f t="shared" si="1"/>
        <v>7368111.336675358</v>
      </c>
      <c r="V11" s="1">
        <f t="shared" si="1"/>
        <v>7603890.8994489703</v>
      </c>
      <c r="W11" s="1">
        <f t="shared" si="1"/>
        <v>7847215.4082313385</v>
      </c>
      <c r="X11" s="1">
        <f t="shared" si="1"/>
        <v>8098326.3012947403</v>
      </c>
      <c r="Y11" s="1">
        <f t="shared" si="1"/>
        <v>8357472.7429361707</v>
      </c>
      <c r="Z11" s="1">
        <f t="shared" si="1"/>
        <v>8624911.8707101289</v>
      </c>
      <c r="AA11" s="1">
        <f t="shared" si="1"/>
        <v>8900909.0505728554</v>
      </c>
      <c r="AB11" s="1">
        <f t="shared" si="1"/>
        <v>9185738.1401911844</v>
      </c>
      <c r="AC11" s="1">
        <f t="shared" si="1"/>
        <v>9479681.7606773004</v>
      </c>
      <c r="AD11" s="1">
        <f t="shared" si="1"/>
        <v>9783031.5770189762</v>
      </c>
      <c r="AE11" s="1">
        <f t="shared" si="1"/>
        <v>10096088.587483583</v>
      </c>
      <c r="AF11" s="1">
        <f t="shared" si="1"/>
        <v>10419163.422283057</v>
      </c>
    </row>
    <row r="12" spans="1:32" x14ac:dyDescent="0.35">
      <c r="A12" t="s">
        <v>71</v>
      </c>
      <c r="C12" s="1">
        <f t="shared" ref="C12:R12" si="2">C6*C$9</f>
        <v>18536782.519683883</v>
      </c>
      <c r="D12" s="1">
        <f t="shared" si="2"/>
        <v>19129959.560313769</v>
      </c>
      <c r="E12" s="1">
        <f t="shared" si="2"/>
        <v>19742118.266243808</v>
      </c>
      <c r="F12" s="1">
        <f t="shared" si="2"/>
        <v>20373866.050763611</v>
      </c>
      <c r="G12" s="1">
        <f t="shared" si="2"/>
        <v>21025829.764388047</v>
      </c>
      <c r="H12" s="1">
        <f t="shared" si="2"/>
        <v>21698656.316848461</v>
      </c>
      <c r="I12" s="1">
        <f t="shared" si="2"/>
        <v>22393013.318987608</v>
      </c>
      <c r="J12" s="1">
        <f t="shared" si="2"/>
        <v>23109589.745195217</v>
      </c>
      <c r="K12" s="1">
        <f t="shared" si="2"/>
        <v>23849096.617041465</v>
      </c>
      <c r="L12" s="1">
        <f t="shared" si="2"/>
        <v>24612267.708786789</v>
      </c>
      <c r="M12" s="1">
        <f t="shared" si="2"/>
        <v>25399860.275467966</v>
      </c>
      <c r="N12" s="1">
        <f t="shared" si="2"/>
        <v>26212655.804282941</v>
      </c>
      <c r="O12" s="1">
        <f t="shared" si="2"/>
        <v>27051460.790019996</v>
      </c>
      <c r="P12" s="1">
        <f t="shared" si="2"/>
        <v>27917107.535300635</v>
      </c>
      <c r="Q12" s="1">
        <f t="shared" si="2"/>
        <v>28810454.976430248</v>
      </c>
      <c r="R12" s="1">
        <f t="shared" si="2"/>
        <v>29732389.535676025</v>
      </c>
      <c r="S12" s="1">
        <f t="shared" si="1"/>
        <v>30683826.00081766</v>
      </c>
      <c r="T12" s="1">
        <f t="shared" si="1"/>
        <v>31665708.432843819</v>
      </c>
      <c r="U12" s="1">
        <f t="shared" si="1"/>
        <v>32679011.102694817</v>
      </c>
      <c r="V12" s="1">
        <f t="shared" si="1"/>
        <v>33724739.457981057</v>
      </c>
      <c r="W12" s="1">
        <f t="shared" si="1"/>
        <v>34803931.120636456</v>
      </c>
      <c r="X12" s="1">
        <f t="shared" si="1"/>
        <v>35917656.916496813</v>
      </c>
      <c r="Y12" s="1">
        <f t="shared" si="1"/>
        <v>37067021.937824711</v>
      </c>
      <c r="Z12" s="1">
        <f t="shared" si="1"/>
        <v>38253166.639835104</v>
      </c>
      <c r="AA12" s="1">
        <f t="shared" si="1"/>
        <v>39477267.972309835</v>
      </c>
      <c r="AB12" s="1">
        <f t="shared" si="1"/>
        <v>40740540.547423743</v>
      </c>
      <c r="AC12" s="1">
        <f t="shared" si="1"/>
        <v>42044237.844941296</v>
      </c>
      <c r="AD12" s="1">
        <f t="shared" si="1"/>
        <v>43389653.455979422</v>
      </c>
      <c r="AE12" s="1">
        <f t="shared" si="1"/>
        <v>44778122.366570763</v>
      </c>
      <c r="AF12" s="1">
        <f t="shared" si="1"/>
        <v>46211022.282301024</v>
      </c>
    </row>
    <row r="13" spans="1:32" x14ac:dyDescent="0.35">
      <c r="A13" t="s">
        <v>74</v>
      </c>
      <c r="C13" s="1">
        <f>C7*C$9</f>
        <v>444882.78047241323</v>
      </c>
      <c r="D13" s="1">
        <f t="shared" si="1"/>
        <v>918238.05889506079</v>
      </c>
      <c r="E13" s="1">
        <f t="shared" si="1"/>
        <v>1421432.5151695542</v>
      </c>
      <c r="F13" s="1">
        <f t="shared" si="1"/>
        <v>1955891.1408733064</v>
      </c>
      <c r="G13" s="1">
        <f t="shared" si="1"/>
        <v>2523099.5717265657</v>
      </c>
      <c r="H13" s="1">
        <f t="shared" si="1"/>
        <v>3124606.5096261785</v>
      </c>
      <c r="I13" s="1">
        <f t="shared" si="1"/>
        <v>3762026.2375899195</v>
      </c>
      <c r="J13" s="1">
        <f t="shared" si="1"/>
        <v>4437041.2310774829</v>
      </c>
      <c r="K13" s="1">
        <f t="shared" si="1"/>
        <v>5151404.8692809576</v>
      </c>
      <c r="L13" s="1">
        <f t="shared" si="1"/>
        <v>5906944.2501088306</v>
      </c>
      <c r="M13" s="1">
        <f t="shared" si="1"/>
        <v>6705563.1127235442</v>
      </c>
      <c r="N13" s="1">
        <f t="shared" si="1"/>
        <v>7549244.8716334887</v>
      </c>
      <c r="O13" s="1">
        <f t="shared" si="1"/>
        <v>8440055.7664862424</v>
      </c>
      <c r="P13" s="1">
        <f t="shared" si="1"/>
        <v>9380148.1318610162</v>
      </c>
      <c r="Q13" s="1">
        <f t="shared" si="1"/>
        <v>10371763.791514892</v>
      </c>
      <c r="R13" s="1">
        <f t="shared" si="1"/>
        <v>11417237.581699597</v>
      </c>
      <c r="S13" s="1">
        <f t="shared" si="1"/>
        <v>12519001.008333607</v>
      </c>
      <c r="T13" s="1">
        <f t="shared" si="1"/>
        <v>13679586.042988529</v>
      </c>
      <c r="U13" s="1">
        <f t="shared" si="1"/>
        <v>14901629.062828837</v>
      </c>
      <c r="V13" s="1">
        <f t="shared" si="1"/>
        <v>16187874.939830907</v>
      </c>
      <c r="W13" s="1">
        <f t="shared" si="1"/>
        <v>17541181.284800772</v>
      </c>
      <c r="X13" s="1">
        <f t="shared" si="1"/>
        <v>18964522.851910315</v>
      </c>
      <c r="Y13" s="1">
        <f t="shared" si="1"/>
        <v>20460996.109679233</v>
      </c>
      <c r="Z13" s="1">
        <f t="shared" si="1"/>
        <v>22033823.984545015</v>
      </c>
      <c r="AA13" s="1">
        <f t="shared" si="1"/>
        <v>23686360.783385891</v>
      </c>
      <c r="AB13" s="1">
        <f t="shared" si="1"/>
        <v>25422097.301592406</v>
      </c>
      <c r="AC13" s="1">
        <f t="shared" si="1"/>
        <v>27244666.123521946</v>
      </c>
      <c r="AD13" s="1">
        <f t="shared" si="1"/>
        <v>29157847.122418165</v>
      </c>
      <c r="AE13" s="1">
        <f t="shared" si="1"/>
        <v>31165573.167133234</v>
      </c>
      <c r="AF13" s="1">
        <f t="shared" si="1"/>
        <v>33271936.043256726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23161139.305644348</v>
      </c>
      <c r="D25" s="40">
        <f>SUM(D11:D13,D18:D23)</f>
        <v>24361414.792872496</v>
      </c>
      <c r="E25" s="40">
        <f t="shared" ref="E25:AF25" si="7">SUM(E11:E13,E18:E23)</f>
        <v>25614790.904634267</v>
      </c>
      <c r="F25" s="40">
        <f t="shared" si="7"/>
        <v>26923436.998800892</v>
      </c>
      <c r="G25" s="40">
        <f t="shared" si="7"/>
        <v>28289606.897107836</v>
      </c>
      <c r="H25" s="40">
        <f t="shared" si="7"/>
        <v>29715642.069419645</v>
      </c>
      <c r="I25" s="40">
        <f t="shared" si="7"/>
        <v>31203974.93529677</v>
      </c>
      <c r="J25" s="40">
        <f t="shared" si="7"/>
        <v>32757132.287110962</v>
      </c>
      <c r="K25" s="40">
        <f t="shared" si="7"/>
        <v>34377738.839107513</v>
      </c>
      <c r="L25" s="40">
        <f t="shared" si="7"/>
        <v>36068520.90696983</v>
      </c>
      <c r="M25" s="40">
        <f t="shared" si="7"/>
        <v>37832310.222604096</v>
      </c>
      <c r="N25" s="40">
        <f t="shared" si="7"/>
        <v>39672047.889030218</v>
      </c>
      <c r="O25" s="40">
        <f t="shared" si="7"/>
        <v>41590788.480439663</v>
      </c>
      <c r="P25" s="40">
        <f t="shared" si="7"/>
        <v>43591704.292660952</v>
      </c>
      <c r="Q25" s="40">
        <f t="shared" si="7"/>
        <v>45678089.749460414</v>
      </c>
      <c r="R25" s="40">
        <f t="shared" si="7"/>
        <v>47853365.970299385</v>
      </c>
      <c r="S25" s="40">
        <f t="shared" si="7"/>
        <v>50121085.50536859</v>
      </c>
      <c r="T25" s="40">
        <f t="shared" si="7"/>
        <v>52484937.243928626</v>
      </c>
      <c r="U25" s="40">
        <f t="shared" si="7"/>
        <v>54948751.502199017</v>
      </c>
      <c r="V25" s="40">
        <f t="shared" si="7"/>
        <v>57516505.297260933</v>
      </c>
      <c r="W25" s="40">
        <f t="shared" si="7"/>
        <v>60192327.813668564</v>
      </c>
      <c r="X25" s="40">
        <f t="shared" si="7"/>
        <v>62980506.069701873</v>
      </c>
      <c r="Y25" s="40">
        <f t="shared" si="7"/>
        <v>65885490.790440112</v>
      </c>
      <c r="Z25" s="40">
        <f t="shared" si="7"/>
        <v>68911902.495090246</v>
      </c>
      <c r="AA25" s="40">
        <f t="shared" si="7"/>
        <v>72064537.806268588</v>
      </c>
      <c r="AB25" s="40">
        <f t="shared" si="7"/>
        <v>75348375.989207327</v>
      </c>
      <c r="AC25" s="40">
        <f t="shared" si="7"/>
        <v>78768585.72914055</v>
      </c>
      <c r="AD25" s="40">
        <f t="shared" si="7"/>
        <v>82330532.155416563</v>
      </c>
      <c r="AE25" s="40">
        <f t="shared" si="7"/>
        <v>86039784.121187583</v>
      </c>
      <c r="AF25" s="40">
        <f t="shared" si="7"/>
        <v>89902121.747840807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10989490.715828869</v>
      </c>
      <c r="D5" s="59">
        <f>C5*('Price and Financial ratios'!F4+1)*(1+Assumptions!$C$13)</f>
        <v>14863865.377635561</v>
      </c>
      <c r="E5" s="59">
        <f>D5*('Price and Financial ratios'!G4+1)*(1+Assumptions!$C$13)</f>
        <v>20104161.300782297</v>
      </c>
      <c r="F5" s="59">
        <f>E5*('Price and Financial ratios'!H4+1)*(1+Assumptions!$C$13)</f>
        <v>26587672.436066508</v>
      </c>
      <c r="G5" s="59">
        <f>F5*('Price and Financial ratios'!I4+1)*(1+Assumptions!$C$13)</f>
        <v>32498295.143732462</v>
      </c>
      <c r="H5" s="59">
        <f>G5*('Price and Financial ratios'!J4+1)*(1+Assumptions!$C$13)</f>
        <v>37118110.31786105</v>
      </c>
      <c r="I5" s="59">
        <f>H5*('Price and Financial ratios'!K4+1)*(1+Assumptions!$C$13)</f>
        <v>40907126.299712397</v>
      </c>
      <c r="J5" s="59">
        <f>I5*('Price and Financial ratios'!L4+1)*(1+Assumptions!$C$13)</f>
        <v>44263235.414836027</v>
      </c>
      <c r="K5" s="59">
        <f>J5*('Price and Financial ratios'!M4+1)*(1+Assumptions!$C$13)</f>
        <v>47451217.656429432</v>
      </c>
      <c r="L5" s="59">
        <f>K5*('Price and Financial ratios'!N4+1)*(1+Assumptions!$C$13)</f>
        <v>50868808.752356797</v>
      </c>
      <c r="M5" s="59">
        <f>L5*('Price and Financial ratios'!O4+1)*(1+Assumptions!$C$13)</f>
        <v>54022895.917935714</v>
      </c>
      <c r="N5" s="59">
        <f>M5*('Price and Financial ratios'!P4+1)*(1+Assumptions!$C$13)</f>
        <v>57372550.192162693</v>
      </c>
      <c r="O5" s="59">
        <f>N5*('Price and Financial ratios'!Q4+1)*(1+Assumptions!$C$13)</f>
        <v>60355087.230924912</v>
      </c>
      <c r="P5" s="59">
        <f>O5*('Price and Financial ratios'!R4+1)*(1+Assumptions!$C$13)</f>
        <v>63492672.758168019</v>
      </c>
      <c r="Q5" s="59">
        <f>P5*('Price and Financial ratios'!S4+1)*(1+Assumptions!$C$13)</f>
        <v>66793367.03717383</v>
      </c>
      <c r="R5" s="59">
        <f>Q5*('Price and Financial ratios'!T4+1)*(1+Assumptions!$C$13)</f>
        <v>70265649.347525522</v>
      </c>
      <c r="S5" s="59">
        <f>R5*('Price and Financial ratios'!U4+1)*(1+Assumptions!$C$13)</f>
        <v>73918439.767852724</v>
      </c>
      <c r="T5" s="59">
        <f>S5*('Price and Financial ratios'!V4+1)*(1+Assumptions!$C$13)</f>
        <v>77761122.090962201</v>
      </c>
      <c r="U5" s="59">
        <f>T5*('Price and Financial ratios'!W4+1)*(1+Assumptions!$C$13)</f>
        <v>81803567.930221543</v>
      </c>
      <c r="V5" s="59">
        <f>U5*('Price and Financial ratios'!X4+1)*(1+Assumptions!$C$13)</f>
        <v>86056162.079123706</v>
      </c>
      <c r="W5" s="59">
        <f>V5*('Price and Financial ratios'!Y4+1)*(1+Assumptions!$C$13)</f>
        <v>90529829.189179644</v>
      </c>
      <c r="X5" s="59">
        <f>W5*('Price and Financial ratios'!Z4+1)*(1+Assumptions!$C$13)</f>
        <v>95236061.834672719</v>
      </c>
      <c r="Y5" s="59">
        <f>X5*('Price and Financial ratios'!AA4+1)*(1+Assumptions!$C$13)</f>
        <v>100186950.03637169</v>
      </c>
      <c r="Z5" s="59">
        <f>Y5*('Price and Financial ratios'!AB4+1)*(1+Assumptions!$C$13)</f>
        <v>105395212.3200468</v>
      </c>
      <c r="AA5" s="59">
        <f>Z5*('Price and Financial ratios'!AC4+1)*(1+Assumptions!$C$13)</f>
        <v>109818283.35729463</v>
      </c>
      <c r="AB5" s="59">
        <f>AA5*('Price and Financial ratios'!AD4+1)*(1+Assumptions!$C$13)</f>
        <v>114426975.32522699</v>
      </c>
      <c r="AC5" s="59">
        <f>AB5*('Price and Financial ratios'!AE4+1)*(1+Assumptions!$C$13)</f>
        <v>118655861.36808248</v>
      </c>
      <c r="AD5" s="59">
        <f>AC5*('Price and Financial ratios'!AF4+1)*(1+Assumptions!$C$13)</f>
        <v>121495591.71233281</v>
      </c>
      <c r="AE5" s="59">
        <f>AD5*('Price and Financial ratios'!AG4+1)*(1+Assumptions!$C$13)</f>
        <v>124403283.87772775</v>
      </c>
      <c r="AF5" s="59">
        <f>AE5*('Price and Financial ratios'!AH4+1)*(1+Assumptions!$C$13)</f>
        <v>127380564.35994588</v>
      </c>
    </row>
    <row r="6" spans="1:32" s="11" customFormat="1" x14ac:dyDescent="0.35">
      <c r="A6" s="11" t="s">
        <v>20</v>
      </c>
      <c r="C6" s="59">
        <f>C27</f>
        <v>9169154.6534744706</v>
      </c>
      <c r="D6" s="59">
        <f t="shared" ref="D6:AF6" si="1">D27</f>
        <v>9950361.7171717174</v>
      </c>
      <c r="E6" s="59">
        <f>E27</f>
        <v>10761536.206570506</v>
      </c>
      <c r="F6" s="59">
        <f t="shared" si="1"/>
        <v>11603619.354468072</v>
      </c>
      <c r="G6" s="59">
        <f t="shared" si="1"/>
        <v>12477579.32210554</v>
      </c>
      <c r="H6" s="59">
        <f t="shared" si="1"/>
        <v>13384411.92890396</v>
      </c>
      <c r="I6" s="59">
        <f t="shared" si="1"/>
        <v>14325141.401285954</v>
      </c>
      <c r="J6" s="59">
        <f t="shared" si="1"/>
        <v>15300821.14106972</v>
      </c>
      <c r="K6" s="59">
        <f t="shared" si="1"/>
        <v>16312534.513934501</v>
      </c>
      <c r="L6" s="59">
        <f t="shared" si="1"/>
        <v>17361395.658468939</v>
      </c>
      <c r="M6" s="59">
        <f t="shared" si="1"/>
        <v>18448550.316326715</v>
      </c>
      <c r="N6" s="59">
        <f t="shared" si="1"/>
        <v>19575176.684026733</v>
      </c>
      <c r="O6" s="59">
        <f t="shared" si="1"/>
        <v>20742486.286948919</v>
      </c>
      <c r="P6" s="59">
        <f t="shared" si="1"/>
        <v>21951724.876090001</v>
      </c>
      <c r="Q6" s="59">
        <f t="shared" si="1"/>
        <v>23204173.348158315</v>
      </c>
      <c r="R6" s="59">
        <f t="shared" si="1"/>
        <v>24501148.689600423</v>
      </c>
      <c r="S6" s="59">
        <f t="shared" si="1"/>
        <v>25844004.945167966</v>
      </c>
      <c r="T6" s="59">
        <f t="shared" si="1"/>
        <v>27234134.211647581</v>
      </c>
      <c r="U6" s="59">
        <f t="shared" si="1"/>
        <v>28672967.657392804</v>
      </c>
      <c r="V6" s="59">
        <f t="shared" si="1"/>
        <v>30161976.568312518</v>
      </c>
      <c r="W6" s="59">
        <f t="shared" si="1"/>
        <v>31702673.42098698</v>
      </c>
      <c r="X6" s="59">
        <f t="shared" si="1"/>
        <v>33296612.983599104</v>
      </c>
      <c r="Y6" s="59">
        <f t="shared" si="1"/>
        <v>34945393.445385873</v>
      </c>
      <c r="Z6" s="59">
        <f t="shared" si="1"/>
        <v>36650657.575332209</v>
      </c>
      <c r="AA6" s="59">
        <f t="shared" si="1"/>
        <v>38414093.910847753</v>
      </c>
      <c r="AB6" s="59">
        <f t="shared" si="1"/>
        <v>40237437.977185473</v>
      </c>
      <c r="AC6" s="59">
        <f t="shared" si="1"/>
        <v>42122473.538379595</v>
      </c>
      <c r="AD6" s="59">
        <f t="shared" si="1"/>
        <v>44071033.880500071</v>
      </c>
      <c r="AE6" s="59">
        <f t="shared" si="1"/>
        <v>46085003.128040493</v>
      </c>
      <c r="AF6" s="59">
        <f t="shared" si="1"/>
        <v>48166317.594276533</v>
      </c>
    </row>
    <row r="7" spans="1:32" x14ac:dyDescent="0.35">
      <c r="A7" t="s">
        <v>21</v>
      </c>
      <c r="C7" s="4">
        <f>Depreciation!C8+Depreciation!C9</f>
        <v>4624356.7859604657</v>
      </c>
      <c r="D7" s="4">
        <f>Depreciation!D8+Depreciation!D9</f>
        <v>5231455.2325587301</v>
      </c>
      <c r="E7" s="4">
        <f>Depreciation!E8+Depreciation!E9</f>
        <v>5872672.638390461</v>
      </c>
      <c r="F7" s="4">
        <f>Depreciation!F8+Depreciation!F9</f>
        <v>6549570.9480372816</v>
      </c>
      <c r="G7" s="4">
        <f>Depreciation!G8+Depreciation!G9</f>
        <v>7263777.1327197887</v>
      </c>
      <c r="H7" s="4">
        <f>Depreciation!H8+Depreciation!H9</f>
        <v>8016985.7525711842</v>
      </c>
      <c r="I7" s="4">
        <f>Depreciation!I8+Depreciation!I9</f>
        <v>8810961.6163091641</v>
      </c>
      <c r="J7" s="4">
        <f>Depreciation!J8+Depreciation!J9</f>
        <v>9647542.5419157445</v>
      </c>
      <c r="K7" s="4">
        <f>Depreciation!K8+Depreciation!K9</f>
        <v>10528642.222066045</v>
      </c>
      <c r="L7" s="4">
        <f>Depreciation!L8+Depreciation!L9</f>
        <v>11456253.198183039</v>
      </c>
      <c r="M7" s="4">
        <f>Depreciation!M8+Depreciation!M9</f>
        <v>12432449.947136126</v>
      </c>
      <c r="N7" s="4">
        <f>Depreciation!N8+Depreciation!N9</f>
        <v>13459392.084747275</v>
      </c>
      <c r="O7" s="4">
        <f>Depreciation!O8+Depreciation!O9</f>
        <v>14539327.69041967</v>
      </c>
      <c r="P7" s="4">
        <f>Depreciation!P8+Depreciation!P9</f>
        <v>15674596.757360313</v>
      </c>
      <c r="Q7" s="4">
        <f>Depreciation!Q8+Depreciation!Q9</f>
        <v>16867634.773030166</v>
      </c>
      <c r="R7" s="4">
        <f>Depreciation!R8+Depreciation!R9</f>
        <v>18120976.434623361</v>
      </c>
      <c r="S7" s="4">
        <f>Depreciation!S8+Depreciation!S9</f>
        <v>19437259.50455093</v>
      </c>
      <c r="T7" s="4">
        <f>Depreciation!T8+Depreciation!T9</f>
        <v>20819228.811084807</v>
      </c>
      <c r="U7" s="4">
        <f>Depreciation!U8+Depreciation!U9</f>
        <v>22269740.399504196</v>
      </c>
      <c r="V7" s="4">
        <f>Depreciation!V8+Depreciation!V9</f>
        <v>23791765.839279875</v>
      </c>
      <c r="W7" s="4">
        <f>Depreciation!W8+Depreciation!W9</f>
        <v>25388396.693032108</v>
      </c>
      <c r="X7" s="4">
        <f>Depreciation!X8+Depreciation!X9</f>
        <v>27062849.153205056</v>
      </c>
      <c r="Y7" s="4">
        <f>Depreciation!Y8+Depreciation!Y9</f>
        <v>28818468.852615405</v>
      </c>
      <c r="Z7" s="4">
        <f>Depreciation!Z8+Depreciation!Z9</f>
        <v>30658735.855255142</v>
      </c>
      <c r="AA7" s="4">
        <f>Depreciation!AA8+Depreciation!AA9</f>
        <v>32587269.833958745</v>
      </c>
      <c r="AB7" s="4">
        <f>Depreciation!AB8+Depreciation!AB9</f>
        <v>34607835.441783592</v>
      </c>
      <c r="AC7" s="4">
        <f>Depreciation!AC8+Depreciation!AC9</f>
        <v>36724347.884199247</v>
      </c>
      <c r="AD7" s="4">
        <f>Depreciation!AD8+Depreciation!AD9</f>
        <v>38940878.699437141</v>
      </c>
      <c r="AE7" s="4">
        <f>Depreciation!AE8+Depreciation!AE9</f>
        <v>41261661.754616819</v>
      </c>
      <c r="AF7" s="4">
        <f>Depreciation!AF8+Depreciation!AF9</f>
        <v>43691099.465539783</v>
      </c>
    </row>
    <row r="8" spans="1:32" x14ac:dyDescent="0.35">
      <c r="A8" t="s">
        <v>6</v>
      </c>
      <c r="C8" s="4">
        <f ca="1">'Debt worksheet'!C8</f>
        <v>937485.09172554221</v>
      </c>
      <c r="D8" s="4">
        <f ca="1">'Debt worksheet'!D8</f>
        <v>1676851.7941552801</v>
      </c>
      <c r="E8" s="4">
        <f ca="1">'Debt worksheet'!E8</f>
        <v>2327852.4326632814</v>
      </c>
      <c r="F8" s="4">
        <f ca="1">'Debt worksheet'!F8</f>
        <v>2845316.9634874277</v>
      </c>
      <c r="G8" s="4">
        <f ca="1">'Debt worksheet'!G8</f>
        <v>3248422.9545380929</v>
      </c>
      <c r="H8" s="4">
        <f ca="1">'Debt worksheet'!H8</f>
        <v>3583203.0915588415</v>
      </c>
      <c r="I8" s="4">
        <f ca="1">'Debt worksheet'!I8</f>
        <v>3880800.769792024</v>
      </c>
      <c r="J8" s="4">
        <f ca="1">'Debt worksheet'!J8</f>
        <v>4159187.4614083804</v>
      </c>
      <c r="K8" s="4">
        <f ca="1">'Debt worksheet'!K8</f>
        <v>4427517.5241345298</v>
      </c>
      <c r="L8" s="4">
        <f ca="1">'Debt worksheet'!L8</f>
        <v>4680990.9819610342</v>
      </c>
      <c r="M8" s="4">
        <f ca="1">'Debt worksheet'!M8</f>
        <v>4932662.9468350913</v>
      </c>
      <c r="N8" s="4">
        <f ca="1">'Debt worksheet'!N8</f>
        <v>5179561.1918822695</v>
      </c>
      <c r="O8" s="4">
        <f ca="1">'Debt worksheet'!O8</f>
        <v>5439168.6587134693</v>
      </c>
      <c r="P8" s="4">
        <f ca="1">'Debt worksheet'!P8</f>
        <v>5710823.9721076395</v>
      </c>
      <c r="Q8" s="4">
        <f ca="1">'Debt worksheet'!Q8</f>
        <v>5993715.3722520331</v>
      </c>
      <c r="R8" s="4">
        <f ca="1">'Debt worksheet'!R8</f>
        <v>6286865.9670312256</v>
      </c>
      <c r="S8" s="4">
        <f ca="1">'Debt worksheet'!S8</f>
        <v>6589117.8662436884</v>
      </c>
      <c r="T8" s="4">
        <f ca="1">'Debt worksheet'!T8</f>
        <v>6899115.123321428</v>
      </c>
      <c r="U8" s="4">
        <f ca="1">'Debt worksheet'!U8</f>
        <v>7215285.4055434074</v>
      </c>
      <c r="V8" s="4">
        <f ca="1">'Debt worksheet'!V8</f>
        <v>7535820.3088799473</v>
      </c>
      <c r="W8" s="4">
        <f ca="1">'Debt worksheet'!W8</f>
        <v>7858654.2284679832</v>
      </c>
      <c r="X8" s="4">
        <f ca="1">'Debt worksheet'!X8</f>
        <v>8181441.6902797641</v>
      </c>
      <c r="Y8" s="4">
        <f ca="1">'Debt worksheet'!Y8</f>
        <v>8501533.0437934343</v>
      </c>
      <c r="Z8" s="4">
        <f ca="1">'Debt worksheet'!Z8</f>
        <v>8815948.409385059</v>
      </c>
      <c r="AA8" s="4">
        <f ca="1">'Debt worksheet'!AA8</f>
        <v>9159648.2922060303</v>
      </c>
      <c r="AB8" s="4">
        <f ca="1">'Debt worksheet'!AB8</f>
        <v>9533893.9322765116</v>
      </c>
      <c r="AC8" s="4">
        <f ca="1">'Debt worksheet'!AC8</f>
        <v>9960752.1852402389</v>
      </c>
      <c r="AD8" s="4">
        <f ca="1">'Debt worksheet'!AD8</f>
        <v>10499959.882451475</v>
      </c>
      <c r="AE8" s="4">
        <f ca="1">'Debt worksheet'!AE8</f>
        <v>11160841.96938237</v>
      </c>
      <c r="AF8" s="4">
        <f ca="1">'Debt worksheet'!AF8</f>
        <v>11953282.480578622</v>
      </c>
    </row>
    <row r="9" spans="1:32" x14ac:dyDescent="0.35">
      <c r="A9" t="s">
        <v>22</v>
      </c>
      <c r="C9" s="4">
        <f ca="1">C5-C6-C7-C8</f>
        <v>-3741505.815331609</v>
      </c>
      <c r="D9" s="4">
        <f t="shared" ref="D9:AF9" ca="1" si="2">D5-D6-D7-D8</f>
        <v>-1994803.3662501667</v>
      </c>
      <c r="E9" s="4">
        <f t="shared" ca="1" si="2"/>
        <v>1142100.0231580483</v>
      </c>
      <c r="F9" s="4">
        <f t="shared" ca="1" si="2"/>
        <v>5589165.1700737271</v>
      </c>
      <c r="G9" s="4">
        <f t="shared" ca="1" si="2"/>
        <v>9508515.7343690433</v>
      </c>
      <c r="H9" s="4">
        <f t="shared" ca="1" si="2"/>
        <v>12133509.544827064</v>
      </c>
      <c r="I9" s="4">
        <f t="shared" ca="1" si="2"/>
        <v>13890222.512325253</v>
      </c>
      <c r="J9" s="4">
        <f t="shared" ca="1" si="2"/>
        <v>15155684.270442184</v>
      </c>
      <c r="K9" s="4">
        <f t="shared" ca="1" si="2"/>
        <v>16182523.396294357</v>
      </c>
      <c r="L9" s="4">
        <f t="shared" ca="1" si="2"/>
        <v>17370168.913743787</v>
      </c>
      <c r="M9" s="4">
        <f t="shared" ca="1" si="2"/>
        <v>18209232.707637779</v>
      </c>
      <c r="N9" s="4">
        <f t="shared" ca="1" si="2"/>
        <v>19158420.231506415</v>
      </c>
      <c r="O9" s="4">
        <f t="shared" ca="1" si="2"/>
        <v>19634104.594842851</v>
      </c>
      <c r="P9" s="4">
        <f t="shared" ca="1" si="2"/>
        <v>20155527.152610071</v>
      </c>
      <c r="Q9" s="4">
        <f t="shared" ca="1" si="2"/>
        <v>20727843.543733317</v>
      </c>
      <c r="R9" s="4">
        <f t="shared" ca="1" si="2"/>
        <v>21356658.256270513</v>
      </c>
      <c r="S9" s="4">
        <f t="shared" ca="1" si="2"/>
        <v>22048057.451890141</v>
      </c>
      <c r="T9" s="4">
        <f t="shared" ca="1" si="2"/>
        <v>22808643.944908381</v>
      </c>
      <c r="U9" s="4">
        <f t="shared" ca="1" si="2"/>
        <v>23645574.467781141</v>
      </c>
      <c r="V9" s="4">
        <f t="shared" ca="1" si="2"/>
        <v>24566599.362651363</v>
      </c>
      <c r="W9" s="4">
        <f t="shared" ca="1" si="2"/>
        <v>25580104.846692573</v>
      </c>
      <c r="X9" s="4">
        <f t="shared" ca="1" si="2"/>
        <v>26695158.007588793</v>
      </c>
      <c r="Y9" s="4">
        <f t="shared" ca="1" si="2"/>
        <v>27921554.694576986</v>
      </c>
      <c r="Z9" s="4">
        <f t="shared" ca="1" si="2"/>
        <v>29269870.480074387</v>
      </c>
      <c r="AA9" s="4">
        <f t="shared" ca="1" si="2"/>
        <v>29657271.320282105</v>
      </c>
      <c r="AB9" s="4">
        <f t="shared" ca="1" si="2"/>
        <v>30047807.973981418</v>
      </c>
      <c r="AC9" s="4">
        <f t="shared" ca="1" si="2"/>
        <v>29848287.760263398</v>
      </c>
      <c r="AD9" s="4">
        <f t="shared" ca="1" si="2"/>
        <v>27983719.249944121</v>
      </c>
      <c r="AE9" s="4">
        <f t="shared" ca="1" si="2"/>
        <v>25895777.025688067</v>
      </c>
      <c r="AF9" s="4">
        <f t="shared" ca="1" si="2"/>
        <v>23569864.819550939</v>
      </c>
    </row>
    <row r="12" spans="1:32" x14ac:dyDescent="0.35">
      <c r="A12" t="s">
        <v>79</v>
      </c>
      <c r="C12" s="2">
        <f>Assumptions!$C$25*Assumptions!D9*Assumptions!D13</f>
        <v>8618439.7774536293</v>
      </c>
      <c r="D12" s="2">
        <f>Assumptions!$C$25*Assumptions!E9*Assumptions!E13</f>
        <v>8824700.5105851181</v>
      </c>
      <c r="E12" s="2">
        <f>Assumptions!$C$25*Assumptions!F9*Assumptions!F13</f>
        <v>9035897.5768732503</v>
      </c>
      <c r="F12" s="2">
        <f>Assumptions!$C$25*Assumptions!G9*Assumptions!G13</f>
        <v>9252149.1150672771</v>
      </c>
      <c r="G12" s="2">
        <f>Assumptions!$C$25*Assumptions!H9*Assumptions!H13</f>
        <v>9473576.0912710242</v>
      </c>
      <c r="H12" s="2">
        <f>Assumptions!$C$25*Assumptions!I9*Assumptions!I13</f>
        <v>9700302.3666085098</v>
      </c>
      <c r="I12" s="2">
        <f>Assumptions!$C$25*Assumptions!J9*Assumptions!J13</f>
        <v>9932454.7665090133</v>
      </c>
      <c r="J12" s="2">
        <f>Assumptions!$C$25*Assumptions!K9*Assumptions!K13</f>
        <v>10170163.151650252</v>
      </c>
      <c r="K12" s="2">
        <f>Assumptions!$C$25*Assumptions!L9*Assumptions!L13</f>
        <v>10413560.490599466</v>
      </c>
      <c r="L12" s="2">
        <f>Assumptions!$C$25*Assumptions!M9*Assumptions!M13</f>
        <v>10662782.934192937</v>
      </c>
      <c r="M12" s="2">
        <f>Assumptions!$C$25*Assumptions!N9*Assumptions!N13</f>
        <v>10917969.89169563</v>
      </c>
      <c r="N12" s="2">
        <f>Assumptions!$C$25*Assumptions!O9*Assumptions!O13</f>
        <v>11179264.108783497</v>
      </c>
      <c r="O12" s="2">
        <f>Assumptions!$C$25*Assumptions!P9*Assumptions!P13</f>
        <v>11446811.747392112</v>
      </c>
      <c r="P12" s="2">
        <f>Assumptions!$C$25*Assumptions!Q9*Assumptions!Q13</f>
        <v>11720762.467476251</v>
      </c>
      <c r="Q12" s="2">
        <f>Assumptions!$C$25*Assumptions!R9*Assumptions!R13</f>
        <v>12001269.510726256</v>
      </c>
      <c r="R12" s="2">
        <f>Assumptions!$C$25*Assumptions!S9*Assumptions!S13</f>
        <v>12288489.786287822</v>
      </c>
      <c r="S12" s="2">
        <f>Assumptions!$C$25*Assumptions!T9*Assumptions!T13</f>
        <v>12582583.958533399</v>
      </c>
      <c r="T12" s="2">
        <f>Assumptions!$C$25*Assumptions!U9*Assumptions!U13</f>
        <v>12883716.536934081</v>
      </c>
      <c r="U12" s="2">
        <f>Assumptions!$C$25*Assumptions!V9*Assumptions!V13</f>
        <v>13192055.96808243</v>
      </c>
      <c r="V12" s="2">
        <f>Assumptions!$C$25*Assumptions!W9*Assumptions!W13</f>
        <v>13507774.729917565</v>
      </c>
      <c r="W12" s="2">
        <f>Assumptions!$C$25*Assumptions!X9*Assumptions!X13</f>
        <v>13831049.428205358</v>
      </c>
      <c r="X12" s="2">
        <f>Assumptions!$C$25*Assumptions!Y9*Assumptions!Y13</f>
        <v>14162060.895327585</v>
      </c>
      <c r="Y12" s="2">
        <f>Assumptions!$C$25*Assumptions!Z9*Assumptions!Z13</f>
        <v>14500994.291435409</v>
      </c>
      <c r="Z12" s="2">
        <f>Assumptions!$C$25*Assumptions!AA9*Assumptions!AA13</f>
        <v>14848039.208023634</v>
      </c>
      <c r="AA12" s="2">
        <f>Assumptions!$C$25*Assumptions!AB9*Assumptions!AB13</f>
        <v>15203389.773983836</v>
      </c>
      <c r="AB12" s="2">
        <f>Assumptions!$C$25*Assumptions!AC9*Assumptions!AC13</f>
        <v>15567244.764195558</v>
      </c>
      <c r="AC12" s="2">
        <f>Assumptions!$C$25*Assumptions!AD9*Assumptions!AD13</f>
        <v>15939807.710716374</v>
      </c>
      <c r="AD12" s="2">
        <f>Assumptions!$C$25*Assumptions!AE9*Assumptions!AE13</f>
        <v>16321287.01663301</v>
      </c>
      <c r="AE12" s="2">
        <f>Assumptions!$C$25*Assumptions!AF9*Assumptions!AF13</f>
        <v>16711896.072637212</v>
      </c>
      <c r="AF12" s="2">
        <f>Assumptions!$C$25*Assumptions!AG9*Assumptions!AG13</f>
        <v>17111853.376391541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550714.87602084095</v>
      </c>
      <c r="D14" s="5">
        <f>Assumptions!E122*Assumptions!E9</f>
        <v>1125661.2065865989</v>
      </c>
      <c r="E14" s="5">
        <f>Assumptions!F122*Assumptions!F9</f>
        <v>1725638.6296972563</v>
      </c>
      <c r="F14" s="5">
        <f>Assumptions!G122*Assumptions!G9</f>
        <v>2351470.2394007943</v>
      </c>
      <c r="G14" s="5">
        <f>Assumptions!H122*Assumptions!H9</f>
        <v>3004003.2308345153</v>
      </c>
      <c r="H14" s="5">
        <f>Assumptions!I122*Assumptions!I9</f>
        <v>3684109.5622954494</v>
      </c>
      <c r="I14" s="5">
        <f>Assumptions!J122*Assumptions!J9</f>
        <v>4392686.6347769415</v>
      </c>
      <c r="J14" s="5">
        <f>Assumptions!K122*Assumptions!K9</f>
        <v>5130657.9894194677</v>
      </c>
      <c r="K14" s="5">
        <f>Assumptions!L122*Assumptions!L9</f>
        <v>5898974.0233350331</v>
      </c>
      <c r="L14" s="5">
        <f>Assumptions!M122*Assumptions!M9</f>
        <v>6698612.7242760044</v>
      </c>
      <c r="M14" s="5">
        <f>Assumptions!N122*Assumptions!N9</f>
        <v>7530580.4246310852</v>
      </c>
      <c r="N14" s="5">
        <f>Assumptions!O122*Assumptions!O9</f>
        <v>8395912.5752432384</v>
      </c>
      <c r="O14" s="5">
        <f>Assumptions!P122*Assumptions!P9</f>
        <v>9295674.5395568069</v>
      </c>
      <c r="P14" s="5">
        <f>Assumptions!Q122*Assumptions!Q9</f>
        <v>10230962.408613751</v>
      </c>
      <c r="Q14" s="5">
        <f>Assumptions!R122*Assumptions!R9</f>
        <v>11202903.837432059</v>
      </c>
      <c r="R14" s="5">
        <f>Assumptions!S122*Assumptions!S9</f>
        <v>12212658.903312601</v>
      </c>
      <c r="S14" s="5">
        <f>Assumptions!T122*Assumptions!T9</f>
        <v>13261420.986634569</v>
      </c>
      <c r="T14" s="5">
        <f>Assumptions!U122*Assumptions!U9</f>
        <v>14350417.6747135</v>
      </c>
      <c r="U14" s="5">
        <f>Assumptions!V122*Assumptions!V9</f>
        <v>15480911.689310374</v>
      </c>
      <c r="V14" s="5">
        <f>Assumptions!W122*Assumptions!W9</f>
        <v>16654201.838394951</v>
      </c>
      <c r="W14" s="5">
        <f>Assumptions!X122*Assumptions!X9</f>
        <v>17871623.99278162</v>
      </c>
      <c r="X14" s="5">
        <f>Assumptions!Y122*Assumptions!Y9</f>
        <v>19134552.088271517</v>
      </c>
      <c r="Y14" s="5">
        <f>Assumptions!Z122*Assumptions!Z9</f>
        <v>20444399.153950468</v>
      </c>
      <c r="Z14" s="5">
        <f>Assumptions!AA122*Assumptions!AA9</f>
        <v>21802618.367308572</v>
      </c>
      <c r="AA14" s="5">
        <f>Assumptions!AB122*Assumptions!AB9</f>
        <v>23210704.136863913</v>
      </c>
      <c r="AB14" s="5">
        <f>Assumptions!AC122*Assumptions!AC9</f>
        <v>24670193.212989919</v>
      </c>
      <c r="AC14" s="5">
        <f>Assumptions!AD122*Assumptions!AD9</f>
        <v>26182665.82766322</v>
      </c>
      <c r="AD14" s="5">
        <f>Assumptions!AE122*Assumptions!AE9</f>
        <v>27749746.863867063</v>
      </c>
      <c r="AE14" s="5">
        <f>Assumptions!AF122*Assumptions!AF9</f>
        <v>29373107.055403285</v>
      </c>
      <c r="AF14" s="5">
        <f>Assumptions!AG122*Assumptions!AG9</f>
        <v>31054464.217884991</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9169154.6534744706</v>
      </c>
      <c r="D27" s="2">
        <f t="shared" ref="D27:AF27" si="8">D12+D13+D14+D19+D20+D22+D24+D25</f>
        <v>9950361.7171717174</v>
      </c>
      <c r="E27" s="2">
        <f t="shared" si="8"/>
        <v>10761536.206570506</v>
      </c>
      <c r="F27" s="2">
        <f t="shared" si="8"/>
        <v>11603619.354468072</v>
      </c>
      <c r="G27" s="2">
        <f t="shared" si="8"/>
        <v>12477579.32210554</v>
      </c>
      <c r="H27" s="2">
        <f t="shared" si="8"/>
        <v>13384411.92890396</v>
      </c>
      <c r="I27" s="2">
        <f t="shared" si="8"/>
        <v>14325141.401285954</v>
      </c>
      <c r="J27" s="2">
        <f t="shared" si="8"/>
        <v>15300821.14106972</v>
      </c>
      <c r="K27" s="2">
        <f t="shared" si="8"/>
        <v>16312534.513934501</v>
      </c>
      <c r="L27" s="2">
        <f t="shared" si="8"/>
        <v>17361395.658468939</v>
      </c>
      <c r="M27" s="2">
        <f t="shared" si="8"/>
        <v>18448550.316326715</v>
      </c>
      <c r="N27" s="2">
        <f t="shared" si="8"/>
        <v>19575176.684026733</v>
      </c>
      <c r="O27" s="2">
        <f t="shared" si="8"/>
        <v>20742486.286948919</v>
      </c>
      <c r="P27" s="2">
        <f t="shared" si="8"/>
        <v>21951724.876090001</v>
      </c>
      <c r="Q27" s="2">
        <f t="shared" si="8"/>
        <v>23204173.348158315</v>
      </c>
      <c r="R27" s="2">
        <f t="shared" si="8"/>
        <v>24501148.689600423</v>
      </c>
      <c r="S27" s="2">
        <f t="shared" si="8"/>
        <v>25844004.945167966</v>
      </c>
      <c r="T27" s="2">
        <f t="shared" si="8"/>
        <v>27234134.211647581</v>
      </c>
      <c r="U27" s="2">
        <f t="shared" si="8"/>
        <v>28672967.657392804</v>
      </c>
      <c r="V27" s="2">
        <f t="shared" si="8"/>
        <v>30161976.568312518</v>
      </c>
      <c r="W27" s="2">
        <f t="shared" si="8"/>
        <v>31702673.42098698</v>
      </c>
      <c r="X27" s="2">
        <f t="shared" si="8"/>
        <v>33296612.983599104</v>
      </c>
      <c r="Y27" s="2">
        <f t="shared" si="8"/>
        <v>34945393.445385873</v>
      </c>
      <c r="Z27" s="2">
        <f t="shared" si="8"/>
        <v>36650657.575332209</v>
      </c>
      <c r="AA27" s="2">
        <f t="shared" si="8"/>
        <v>38414093.910847753</v>
      </c>
      <c r="AB27" s="2">
        <f t="shared" si="8"/>
        <v>40237437.977185473</v>
      </c>
      <c r="AC27" s="2">
        <f t="shared" si="8"/>
        <v>42122473.538379595</v>
      </c>
      <c r="AD27" s="2">
        <f t="shared" si="8"/>
        <v>44071033.880500071</v>
      </c>
      <c r="AE27" s="2">
        <f t="shared" si="8"/>
        <v>46085003.128040493</v>
      </c>
      <c r="AF27" s="2">
        <f t="shared" si="8"/>
        <v>48166317.594276533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3W2DU3RAJ5R2-1900874439-750</_dlc_DocId>
    <_dlc_DocIdUrl xmlns="f54e2983-00ce-40fc-8108-18f351fc47bf">
      <Url>https://dia.cohesion.net.nz/Sites/LGV/TWRP/CAE/_layouts/15/DocIdRedir.aspx?ID=3W2DU3RAJ5R2-1900874439-750</Url>
      <Description>3W2DU3RAJ5R2-1900874439-750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BB7A5E0-DECF-4B8A-81D8-91BA66064768}"/>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office/2006/metadata/properties"/>
    <ds:schemaRef ds:uri="http://purl.org/dc/terms/"/>
    <ds:schemaRef ds:uri="http://www.w3.org/XML/1998/namespace"/>
    <ds:schemaRef ds:uri="http://schemas.microsoft.com/office/infopath/2007/PartnerControls"/>
    <ds:schemaRef ds:uri="http://purl.org/dc/dcmitype/"/>
    <ds:schemaRef ds:uri="http://purl.org/dc/elements/1.1/"/>
    <ds:schemaRef ds:uri="http://schemas.microsoft.com/office/2006/documentManagement/types"/>
    <ds:schemaRef ds:uri="http://schemas.microsoft.com/sharepoint/v3"/>
    <ds:schemaRef ds:uri="http://schemas.openxmlformats.org/package/2006/metadata/core-properties"/>
    <ds:schemaRef ds:uri="65b6d800-2dda-48d6-88d8-9e2b35e6f7ea"/>
    <ds:schemaRef ds:uri="08a23fc5-e034-477c-ac83-93bc1440f322"/>
  </ds:schemaRefs>
</ds:datastoreItem>
</file>

<file path=customXml/itemProps4.xml><?xml version="1.0" encoding="utf-8"?>
<ds:datastoreItem xmlns:ds="http://schemas.openxmlformats.org/officeDocument/2006/customXml" ds:itemID="{138288A5-4265-4207-8071-FF5C08FFD6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2021-07-01T15:13:19Z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df1548f8-0c7b-4568-bfce-c91a9358d616</vt:lpwstr>
  </property>
</Properties>
</file>