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4" documentId="8_{011202C5-C007-4036-BDC8-3A95252F35C1}" xr6:coauthVersionLast="47" xr6:coauthVersionMax="47" xr10:uidLastSave="{CACC6FAA-70A4-47BF-8A88-3CF90C5579CF}"/>
  <bookViews>
    <workbookView xWindow="1290" yWindow="-110" windowWidth="37220" windowHeight="21820" tabRatio="846"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5" i="9"/>
  <c r="C11" i="9"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<sst xmlns="http://schemas.openxmlformats.org/spreadsheetml/2006/main" count="277" uniqueCount="204">
  <si>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</si>
  <si>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</si>
  <si>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</si>
  <si>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</si>
  <si>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</si>
  <si>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</si>
  <si>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</si>
  <si>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</si>
  <si>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</si>
  <si>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</si>
  <si>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</si>
  <si>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</si>
  <si>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</si>
  <si>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</si>
  <si>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</si>
  <si>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</si>
  <si>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</si>
  <si>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</si>
  <si>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</si>
  <si>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</si>
  <si>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</si>
  <si>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</si>
  <si>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</si>
  <si>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</si>
  <si>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</si>
  <si>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</si>
  <si>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</si>
  <si>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</si>
  <si>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</si>
  <si>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</si>
  <si>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</si>
  <si>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</si>
  <si>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</si>
  <si>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</si>
  <si>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</si>
  <si>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</si>
  <si>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</si>
  <si>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</si>
  <si>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</si>
  <si>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</si>
  <si>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</si>
  <si>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</si>
  <si>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</si>
  <si>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</si>
  <si>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</si>
  <si>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</si>
  <si>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</si>
  <si>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</si>
  <si>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</si>
  <si>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</si>
  <si>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</si>
  <si>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</si>
  <si>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</si>
  <si>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</si>
  <si>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</si>
  <si>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</si>
  <si>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</si>
  <si>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</si>
  <si>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</si>
  <si>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</si>
  <si>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</si>
  <si>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</si>
  <si>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</si>
  <si>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</si>
  <si>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</si>
  <si>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</si>
  <si>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</si>
  <si>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</si>
  <si>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</si>
  <si>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</si>
  <si>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</si>
  <si>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</si>
  <si>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</si>
  <si>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</si>
  <si>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</si>
  <si>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</si>
  <si>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</si>
  <si>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</si>
  <si>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</si>
  <si>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</si>
  <si>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</si>
  <si>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</si>
  <si>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</si>
  <si>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</si>
  <si>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</si>
  <si>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</si>
  <si>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</si>
  <si>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</si>
  <si>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</si>
  <si>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</si>
  <si>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</si>
  <si>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</si>
  <si>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</si>
  <si>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</si>
  <si>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</si>
  <si>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</si>
  <si>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</si>
  <si>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</si>
  <si>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</si>
  <si>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</si>
  <si>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</si>
  <si>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</si>
  <si>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</si>
  <si>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</si>
  <si>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</si>
  <si>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</si>
  <si>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</si>
  <si>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</si>
  <si>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</si>
  <si>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</si>
  <si>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</si>
  <si>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</si>
  <si>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</si>
  <si>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</si>
  <si>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</si>
  <si>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</si>
  <si>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</si>
  <si>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</si>
  <si>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</si>
  <si>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</si>
  <si>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</si>
  <si>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</si>
  <si>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</si>
  <si>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</si>
  <si>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</si>
  <si>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</si>
  <si>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</si>
  <si>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</si>
  <si>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</si>
  <si>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</si>
  <si>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</si>
  <si>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</si>
  <si>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</si>
  <si>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</si>
  <si>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</si>
  <si>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</si>
  <si>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</si>
  <si>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</si>
  <si>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</si>
  <si>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</si>
  <si>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</si>
  <si>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</si>
  <si>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</si>
  <si>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</si>
  <si>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</si>
  <si>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</si>
  <si>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</si>
  <si>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</si>
  <si>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</si>
  <si>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</si>
  <si>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</si>
  <si>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</si>
  <si>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</si>
  <si>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</si>
  <si>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</si>
  <si>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</si>
  <si>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</si>
  <si>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</si>
  <si>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</si>
  <si>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</si>
  <si>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</si>
  <si>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</si>
  <si>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</si>
  <si>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</si>
  <si>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</si>
  <si>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</si>
  <si>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</si>
  <si>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</si>
  <si>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</si>
  <si>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</si>
  <si>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</si>
  <si>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</si>
  <si>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</si>
  <si>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</si>
  <si>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</si>
  <si>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</si>
  <si>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</si>
  <si>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</si>
  <si>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</si>
  <si>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</si>
  <si>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</si>
  <si>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</si>
  <si>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</si>
  <si>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</si>
  <si>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</si>
  <si>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</si>
  <si>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</si>
  <si>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</si>
  <si>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</si>
  <si>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</si>
  <si>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</si>
  <si>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</si>
  <si>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</si>
  <si>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</si>
  <si>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</si>
  <si>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</si>
  <si>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</si>
  <si>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</si>
  <si>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South Wairarapa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</si>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</sst>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0" fontId="18" fillId="0" borderId="0" xfId="0" applyFont="1" applyAlignment="1">
      <alignment horizontal="left" vertical="center"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198</v>
      </c>
      <c r="C2" s="171"/>
      <c r="D2" s="60"/>
      <c r="E2" s="14"/>
      <c r="F2" s="60"/>
    </row>
    <row r="3" spans="1:6" x14ac:dyDescent="0.35">
      <c r="C3" s="14"/>
      <c r="D3" s="14"/>
    </row>
    <row r="4" spans="1:6" x14ac:dyDescent="0.35">
      <c r="A4" s="14" t="s">
        <v>159</v>
      </c>
      <c r="B4" s="14"/>
      <c r="D4" s="14"/>
    </row>
    <row r="6" spans="1:6" ht="21" x14ac:dyDescent="0.5">
      <c r="A6" s="15" t="s">
        <v>168</v>
      </c>
    </row>
    <row r="7" spans="1:6" ht="241" customHeight="1" x14ac:dyDescent="0.35">
      <c r="A7" s="107">
        <v>1</v>
      </c>
      <c r="B7" s="104" t="s">
        <v>169</v>
      </c>
    </row>
    <row r="8" spans="1:6" ht="408" customHeight="1" x14ac:dyDescent="0.35">
      <c r="A8" s="107">
        <v>2</v>
      </c>
      <c r="B8" s="104" t="s">
        <v>190</v>
      </c>
    </row>
    <row r="9" spans="1:6" ht="195.5" customHeight="1" x14ac:dyDescent="0.35">
      <c r="A9" s="107">
        <f>A8+1</f>
        <v>3</v>
      </c>
      <c r="B9" s="105" t="s">
        <v>173</v>
      </c>
    </row>
    <row r="10" spans="1:6" ht="236" customHeight="1" x14ac:dyDescent="0.35">
      <c r="A10" s="107">
        <v>4</v>
      </c>
      <c r="B10" s="105" t="s">
        <v>174</v>
      </c>
    </row>
    <row r="11" spans="1:6" ht="21" x14ac:dyDescent="0.35">
      <c r="A11" s="107">
        <f>A10+1</f>
        <v>5</v>
      </c>
      <c r="B11" s="63" t="s">
        <v>188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165</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191</v>
      </c>
      <c r="B6" s="1">
        <f>Assumptions!C17</f>
        <v>171144459.75</v>
      </c>
      <c r="C6" s="12">
        <f ca="1">B6+Depreciation!C18+'Cash Flow'!C13</f>
        <v>174284102.00400871</v>
      </c>
      <c r="D6" s="1">
        <f ca="1">C6+Depreciation!D18</f>
        <v>194809360.66440621</v>
      </c>
      <c r="E6" s="1">
        <f ca="1">D6+Depreciation!E18</f>
        <v>216408120.20158061</v>
      </c>
      <c r="F6" s="1">
        <f ca="1">E6+Depreciation!F18</f>
        <v>239128066.80677736</v>
      </c>
      <c r="G6" s="1">
        <f ca="1">F6+Depreciation!G18</f>
        <v>263018839.32258382</v>
      </c>
      <c r="H6" s="1">
        <f ca="1">G6+Depreciation!H18</f>
        <v>288132105.38195533</v>
      </c>
      <c r="I6" s="1">
        <f ca="1">H6+Depreciation!I18</f>
        <v>314521640.42062378</v>
      </c>
      <c r="J6" s="1">
        <f ca="1">I6+Depreciation!J18</f>
        <v>342243409.66881943</v>
      </c>
      <c r="K6" s="1">
        <f ca="1">J6+Depreciation!K18</f>
        <v>371355653.23207247</v>
      </c>
      <c r="L6" s="1">
        <f ca="1">K6+Depreciation!L18</f>
        <v>401918974.37483639</v>
      </c>
      <c r="M6" s="1">
        <f ca="1">L6+Depreciation!M18</f>
        <v>433996431.12479109</v>
      </c>
      <c r="N6" s="1">
        <f ca="1">M6+Depreciation!N18</f>
        <v>467653631.31994659</v>
      </c>
      <c r="O6" s="1">
        <f ca="1">N6+Depreciation!O18</f>
        <v>502958831.22508377</v>
      </c>
      <c r="P6" s="1">
        <f ca="1">O6+Depreciation!P18</f>
        <v>539983037.84864163</v>
      </c>
      <c r="Q6" s="1">
        <f ca="1">P6+Depreciation!Q18</f>
        <v>578800115.09589624</v>
      </c>
      <c r="R6" s="1">
        <f ca="1">Q6+Depreciation!R18</f>
        <v>619486893.89918172</v>
      </c>
      <c r="S6" s="1">
        <f ca="1">R6+Depreciation!S18</f>
        <v>662123286.47098279</v>
      </c>
      <c r="T6" s="1">
        <f ca="1">S6+Depreciation!T18</f>
        <v>706792404.83098996</v>
      </c>
      <c r="U6" s="1">
        <f ca="1">T6+Depreciation!U18</f>
        <v>753580683.76365483</v>
      </c>
      <c r="V6" s="1">
        <f ca="1">U6+Depreciation!V18</f>
        <v>802578008.36842692</v>
      </c>
      <c r="W6" s="1">
        <f ca="1">V6+Depreciation!W18</f>
        <v>853877846.37069392</v>
      </c>
      <c r="X6" s="1">
        <f ca="1">W6+Depreciation!X18</f>
        <v>907577385.36750031</v>
      </c>
      <c r="Y6" s="1">
        <f ca="1">X6+Depreciation!Y18</f>
        <v>963777675.18838227</v>
      </c>
      <c r="Z6" s="1">
        <f ca="1">Y6+Depreciation!Z18</f>
        <v>1022583775.5581479</v>
      </c>
      <c r="AA6" s="1">
        <f ca="1">Z6+Depreciation!AA18</f>
        <v>1084104909.2551491</v>
      </c>
      <c r="AB6" s="1">
        <f ca="1">AA6+Depreciation!AB18</f>
        <v>1148454620.9655504</v>
      </c>
      <c r="AC6" s="1">
        <f ca="1">AB6+Depreciation!AC18</f>
        <v>1215750942.0413036</v>
      </c>
      <c r="AD6" s="1">
        <f ca="1">AC6+Depreciation!AD18</f>
        <v>1286116561.3770001</v>
      </c>
      <c r="AE6" s="1">
        <f ca="1">AD6+Depreciation!AE18</f>
        <v>1359679002.6284943</v>
      </c>
      <c r="AF6" s="1"/>
      <c r="AG6" s="1"/>
      <c r="AH6" s="1"/>
      <c r="AI6" s="1"/>
      <c r="AJ6" s="1"/>
      <c r="AK6" s="1"/>
      <c r="AL6" s="1"/>
      <c r="AM6" s="1"/>
      <c r="AN6" s="1"/>
      <c r="AO6" s="1"/>
      <c r="AP6" s="1"/>
    </row>
    <row r="7" spans="1:42" x14ac:dyDescent="0.35">
      <c r="A7" t="s">
        <v>12</v>
      </c>
      <c r="B7" s="1">
        <f>Depreciation!C12</f>
        <v>88767634.566392943</v>
      </c>
      <c r="C7" s="1">
        <f>Depreciation!D12</f>
        <v>92469064.106790453</v>
      </c>
      <c r="D7" s="1">
        <f>Depreciation!E12</f>
        <v>96705631.992124841</v>
      </c>
      <c r="E7" s="1">
        <f>Depreciation!F12</f>
        <v>101507796.8126227</v>
      </c>
      <c r="F7" s="1">
        <f>Depreciation!G12</f>
        <v>106907418.52661991</v>
      </c>
      <c r="G7" s="1">
        <f>Depreciation!H12</f>
        <v>112937816.95852426</v>
      </c>
      <c r="H7" s="1">
        <f>Depreciation!I12</f>
        <v>119633832.60564664</v>
      </c>
      <c r="I7" s="1">
        <f>Depreciation!J12</f>
        <v>127031889.84176676</v>
      </c>
      <c r="J7" s="1">
        <f>Depreciation!K12</f>
        <v>135170062.60855782</v>
      </c>
      <c r="K7" s="1">
        <f>Depreciation!L12</f>
        <v>144088142.68937296</v>
      </c>
      <c r="L7" s="1">
        <f>Depreciation!M12</f>
        <v>153827710.66339654</v>
      </c>
      <c r="M7" s="1">
        <f>Depreciation!N12</f>
        <v>164432209.64179111</v>
      </c>
      <c r="N7" s="1">
        <f>Depreciation!O12</f>
        <v>175947021.89123106</v>
      </c>
      <c r="O7" s="1">
        <f>Depreciation!P12</f>
        <v>188419548.45410937</v>
      </c>
      <c r="P7" s="1">
        <f>Depreciation!Q12</f>
        <v>201899291.87874272</v>
      </c>
      <c r="Q7" s="1">
        <f>Depreciation!R12</f>
        <v>216437942.17708302</v>
      </c>
      <c r="R7" s="1">
        <f>Depreciation!S12</f>
        <v>232089466.13178068</v>
      </c>
      <c r="S7" s="1">
        <f>Depreciation!T12</f>
        <v>248910200.07893711</v>
      </c>
      <c r="T7" s="1">
        <f>Depreciation!U12</f>
        <v>266958946.29754001</v>
      </c>
      <c r="U7" s="1">
        <f>Depreciation!V12</f>
        <v>286297073.1414001</v>
      </c>
      <c r="V7" s="1">
        <f>Depreciation!W12</f>
        <v>306988619.05440593</v>
      </c>
      <c r="W7" s="1">
        <f>Depreciation!X12</f>
        <v>329100400.61509484</v>
      </c>
      <c r="X7" s="1">
        <f>Depreciation!Y12</f>
        <v>352702124.76190352</v>
      </c>
      <c r="Y7" s="1">
        <f>Depreciation!Z12</f>
        <v>377866505.35602552</v>
      </c>
      <c r="Z7" s="1">
        <f>Depreciation!AA12</f>
        <v>404669384.24456257</v>
      </c>
      <c r="AA7" s="1">
        <f>Depreciation!AB12</f>
        <v>433189856.99262887</v>
      </c>
      <c r="AB7" s="1">
        <f>Depreciation!AC12</f>
        <v>463510403.45925242</v>
      </c>
      <c r="AC7" s="1">
        <f>Depreciation!AD12</f>
        <v>495717023.39832687</v>
      </c>
      <c r="AD7" s="1">
        <f>Depreciation!AE12</f>
        <v>529899377.27250719</v>
      </c>
      <c r="AE7" s="1">
        <f>Depreciation!AF12</f>
        <v>566150932.47482264</v>
      </c>
      <c r="AF7" s="1"/>
      <c r="AG7" s="1"/>
      <c r="AH7" s="1"/>
      <c r="AI7" s="1"/>
      <c r="AJ7" s="1"/>
      <c r="AK7" s="1"/>
      <c r="AL7" s="1"/>
      <c r="AM7" s="1"/>
      <c r="AN7" s="1"/>
      <c r="AO7" s="1"/>
      <c r="AP7" s="1"/>
    </row>
    <row r="8" spans="1:42" x14ac:dyDescent="0.35">
      <c r="A8" t="s">
        <v>192</v>
      </c>
      <c r="B8" s="1">
        <f t="shared" ref="B8:AE8" si="1">B6-B7</f>
        <v>82376825.183607057</v>
      </c>
      <c r="C8" s="1">
        <f t="shared" ca="1" si="1"/>
        <v>81815037.897218257</v>
      </c>
      <c r="D8" s="1">
        <f ca="1">D6-D7</f>
        <v>98103728.67228137</v>
      </c>
      <c r="E8" s="1">
        <f t="shared" ca="1" si="1"/>
        <v>114900323.38895792</v>
      </c>
      <c r="F8" s="1">
        <f t="shared" ca="1" si="1"/>
        <v>132220648.28015745</v>
      </c>
      <c r="G8" s="1">
        <f t="shared" ca="1" si="1"/>
        <v>150081022.36405957</v>
      </c>
      <c r="H8" s="1">
        <f t="shared" ca="1" si="1"/>
        <v>168498272.77630869</v>
      </c>
      <c r="I8" s="1">
        <f t="shared" ca="1" si="1"/>
        <v>187489750.578857</v>
      </c>
      <c r="J8" s="1">
        <f t="shared" ca="1" si="1"/>
        <v>207073347.06026161</v>
      </c>
      <c r="K8" s="1">
        <f t="shared" ca="1" si="1"/>
        <v>227267510.54269952</v>
      </c>
      <c r="L8" s="1">
        <f t="shared" ca="1" si="1"/>
        <v>248091263.71143985</v>
      </c>
      <c r="M8" s="1">
        <f t="shared" ca="1" si="1"/>
        <v>269564221.48299998</v>
      </c>
      <c r="N8" s="1">
        <f t="shared" ca="1" si="1"/>
        <v>291706609.42871553</v>
      </c>
      <c r="O8" s="1">
        <f t="shared" ca="1" si="1"/>
        <v>314539282.7709744</v>
      </c>
      <c r="P8" s="1">
        <f t="shared" ca="1" si="1"/>
        <v>338083745.96989894</v>
      </c>
      <c r="Q8" s="1">
        <f t="shared" ca="1" si="1"/>
        <v>362362172.91881323</v>
      </c>
      <c r="R8" s="1">
        <f t="shared" ca="1" si="1"/>
        <v>387397427.76740104</v>
      </c>
      <c r="S8" s="1">
        <f t="shared" ca="1" si="1"/>
        <v>413213086.39204568</v>
      </c>
      <c r="T8" s="1">
        <f t="shared" ca="1" si="1"/>
        <v>439833458.53344995</v>
      </c>
      <c r="U8" s="1">
        <f t="shared" ca="1" si="1"/>
        <v>467283610.62225473</v>
      </c>
      <c r="V8" s="1">
        <f t="shared" ca="1" si="1"/>
        <v>495589389.31402099</v>
      </c>
      <c r="W8" s="1">
        <f t="shared" ca="1" si="1"/>
        <v>524777445.75559908</v>
      </c>
      <c r="X8" s="1">
        <f t="shared" ca="1" si="1"/>
        <v>554875260.60559678</v>
      </c>
      <c r="Y8" s="1">
        <f t="shared" ca="1" si="1"/>
        <v>585911169.83235669</v>
      </c>
      <c r="Z8" s="1">
        <f t="shared" ca="1" si="1"/>
        <v>617914391.31358528</v>
      </c>
      <c r="AA8" s="1">
        <f t="shared" ca="1" si="1"/>
        <v>650915052.26252031</v>
      </c>
      <c r="AB8" s="1">
        <f t="shared" ca="1" si="1"/>
        <v>684944217.50629807</v>
      </c>
      <c r="AC8" s="1">
        <f t="shared" ca="1" si="1"/>
        <v>720033918.64297676</v>
      </c>
      <c r="AD8" s="1">
        <f t="shared" ca="1" si="1"/>
        <v>756217184.1044929</v>
      </c>
      <c r="AE8" s="1">
        <f t="shared" ca="1" si="1"/>
        <v>793528070.15367162</v>
      </c>
      <c r="AF8" s="1"/>
      <c r="AG8" s="1"/>
      <c r="AH8" s="1"/>
      <c r="AI8" s="1"/>
      <c r="AJ8" s="1"/>
      <c r="AK8" s="1"/>
      <c r="AL8" s="1"/>
      <c r="AM8" s="1"/>
      <c r="AN8" s="1"/>
      <c r="AO8" s="1"/>
      <c r="AP8" s="1"/>
    </row>
    <row r="10" spans="1:42" x14ac:dyDescent="0.35">
      <c r="A10" t="s">
        <v>17</v>
      </c>
      <c r="B10" s="1">
        <f>B8-B11</f>
        <v>63359114.163607061</v>
      </c>
      <c r="C10" s="1">
        <f ca="1">C8-C11</f>
        <v>46439404.439834043</v>
      </c>
      <c r="D10" s="1">
        <f ca="1">D8-D11</f>
        <v>49809741.18235755</v>
      </c>
      <c r="E10" s="1">
        <f t="shared" ref="E10:AE10" ca="1" si="2">E8-E11</f>
        <v>56352025.744216822</v>
      </c>
      <c r="F10" s="1">
        <f t="shared" ca="1" si="2"/>
        <v>65498742.839529894</v>
      </c>
      <c r="G10" s="1">
        <f ca="1">G8-G11</f>
        <v>76230319.602686912</v>
      </c>
      <c r="H10" s="1">
        <f t="shared" ca="1" si="2"/>
        <v>88408336.543271795</v>
      </c>
      <c r="I10" s="1">
        <f t="shared" ca="1" si="2"/>
        <v>101113797.81689478</v>
      </c>
      <c r="J10" s="1">
        <f t="shared" ca="1" si="2"/>
        <v>114447752.16433045</v>
      </c>
      <c r="K10" s="1">
        <f t="shared" ca="1" si="2"/>
        <v>128524692.23935694</v>
      </c>
      <c r="L10" s="1">
        <f t="shared" ca="1" si="2"/>
        <v>143083830.20624542</v>
      </c>
      <c r="M10" s="1">
        <f t="shared" ca="1" si="2"/>
        <v>158201594.16927814</v>
      </c>
      <c r="N10" s="1">
        <f t="shared" ca="1" si="2"/>
        <v>173963993.24317956</v>
      </c>
      <c r="O10" s="1">
        <f t="shared" ca="1" si="2"/>
        <v>190231615.98328659</v>
      </c>
      <c r="P10" s="1">
        <f t="shared" ca="1" si="2"/>
        <v>206824035.22275603</v>
      </c>
      <c r="Q10" s="1">
        <f t="shared" ca="1" si="2"/>
        <v>223781313.65104276</v>
      </c>
      <c r="R10" s="1">
        <f t="shared" ca="1" si="2"/>
        <v>241148732.55873621</v>
      </c>
      <c r="S10" s="1">
        <f t="shared" ca="1" si="2"/>
        <v>258977278.01314247</v>
      </c>
      <c r="T10" s="1">
        <f t="shared" ca="1" si="2"/>
        <v>277324164.37550974</v>
      </c>
      <c r="U10" s="1">
        <f t="shared" ca="1" si="2"/>
        <v>296253397.72218031</v>
      </c>
      <c r="V10" s="1">
        <f t="shared" ca="1" si="2"/>
        <v>315836381.8958652</v>
      </c>
      <c r="W10" s="1">
        <f t="shared" ca="1" si="2"/>
        <v>335787914.33018196</v>
      </c>
      <c r="X10" s="1">
        <f t="shared" ca="1" si="2"/>
        <v>356144481.54097068</v>
      </c>
      <c r="Y10" s="1">
        <f t="shared" ca="1" si="2"/>
        <v>376947146.54726958</v>
      </c>
      <c r="Z10" s="1">
        <f t="shared" ca="1" si="2"/>
        <v>398241962.80199581</v>
      </c>
      <c r="AA10" s="1">
        <f t="shared" ca="1" si="2"/>
        <v>420080418.73023897</v>
      </c>
      <c r="AB10" s="1">
        <f t="shared" ca="1" si="2"/>
        <v>442519914.88134378</v>
      </c>
      <c r="AC10" s="1">
        <f t="shared" ca="1" si="2"/>
        <v>465624275.82271606</v>
      </c>
      <c r="AD10" s="1">
        <f t="shared" ca="1" si="2"/>
        <v>489464299.03206533</v>
      </c>
      <c r="AE10" s="1">
        <f t="shared" ca="1" si="2"/>
        <v>513578596.69539642</v>
      </c>
      <c r="AF10" s="1"/>
      <c r="AG10" s="1"/>
      <c r="AH10" s="1"/>
      <c r="AI10" s="1"/>
      <c r="AJ10" s="1"/>
      <c r="AK10" s="1"/>
      <c r="AL10" s="1"/>
      <c r="AM10" s="1"/>
      <c r="AN10" s="1"/>
      <c r="AO10" s="1"/>
    </row>
    <row r="11" spans="1:42" x14ac:dyDescent="0.35">
      <c r="A11" t="s">
        <v>9</v>
      </c>
      <c r="B11" s="1">
        <f>Assumptions!$C$20</f>
        <v>19017711.02</v>
      </c>
      <c r="C11" s="1">
        <f ca="1">'Debt worksheet'!D5</f>
        <v>35375633.457384214</v>
      </c>
      <c r="D11" s="1">
        <f ca="1">'Debt worksheet'!E5</f>
        <v>48293987.48992382</v>
      </c>
      <c r="E11" s="1">
        <f ca="1">'Debt worksheet'!F5</f>
        <v>58548297.644741096</v>
      </c>
      <c r="F11" s="1">
        <f ca="1">'Debt worksheet'!G5</f>
        <v>66721905.440627553</v>
      </c>
      <c r="G11" s="1">
        <f ca="1">'Debt worksheet'!H5</f>
        <v>73850702.761372656</v>
      </c>
      <c r="H11" s="1">
        <f ca="1">'Debt worksheet'!I5</f>
        <v>80089936.233036891</v>
      </c>
      <c r="I11" s="1">
        <f ca="1">'Debt worksheet'!J5</f>
        <v>86375952.76196222</v>
      </c>
      <c r="J11" s="1">
        <f ca="1">'Debt worksheet'!K5</f>
        <v>92625594.895931154</v>
      </c>
      <c r="K11" s="1">
        <f ca="1">'Debt worksheet'!L5</f>
        <v>98742818.303342581</v>
      </c>
      <c r="L11" s="1">
        <f ca="1">'Debt worksheet'!M5</f>
        <v>105007433.50519441</v>
      </c>
      <c r="M11" s="1">
        <f ca="1">'Debt worksheet'!N5</f>
        <v>111362627.31372184</v>
      </c>
      <c r="N11" s="1">
        <f ca="1">'Debt worksheet'!O5</f>
        <v>117742616.18553597</v>
      </c>
      <c r="O11" s="1">
        <f ca="1">'Debt worksheet'!P5</f>
        <v>124307666.78768781</v>
      </c>
      <c r="P11" s="1">
        <f ca="1">'Debt worksheet'!Q5</f>
        <v>131259710.74714293</v>
      </c>
      <c r="Q11" s="1">
        <f ca="1">'Debt worksheet'!R5</f>
        <v>138580859.26777047</v>
      </c>
      <c r="R11" s="1">
        <f ca="1">'Debt worksheet'!S5</f>
        <v>146248695.20866483</v>
      </c>
      <c r="S11" s="1">
        <f ca="1">'Debt worksheet'!T5</f>
        <v>154235808.37890321</v>
      </c>
      <c r="T11" s="1">
        <f ca="1">'Debt worksheet'!U5</f>
        <v>162509294.15794021</v>
      </c>
      <c r="U11" s="1">
        <f ca="1">'Debt worksheet'!V5</f>
        <v>171030212.90007442</v>
      </c>
      <c r="V11" s="1">
        <f ca="1">'Debt worksheet'!W5</f>
        <v>179753007.41815582</v>
      </c>
      <c r="W11" s="1">
        <f ca="1">'Debt worksheet'!X5</f>
        <v>188989531.4254171</v>
      </c>
      <c r="X11" s="1">
        <f ca="1">'Debt worksheet'!Y5</f>
        <v>198730779.0646261</v>
      </c>
      <c r="Y11" s="1">
        <f ca="1">'Debt worksheet'!Z5</f>
        <v>208964023.28508711</v>
      </c>
      <c r="Z11" s="1">
        <f ca="1">'Debt worksheet'!AA5</f>
        <v>219672428.51158947</v>
      </c>
      <c r="AA11" s="1">
        <f ca="1">'Debt worksheet'!AB5</f>
        <v>230834633.53228134</v>
      </c>
      <c r="AB11" s="1">
        <f ca="1">'Debt worksheet'!AC5</f>
        <v>242424302.62495428</v>
      </c>
      <c r="AC11" s="1">
        <f ca="1">'Debt worksheet'!AD5</f>
        <v>254409642.8202607</v>
      </c>
      <c r="AD11" s="1">
        <f ca="1">'Debt worksheet'!AE5</f>
        <v>266752885.07242757</v>
      </c>
      <c r="AE11" s="1">
        <f ca="1">'Debt worksheet'!AF5</f>
        <v>279949473.4582752</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166</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-55762.437384215184</v>
      </c>
      <c r="D5" s="4">
        <f ca="1">'Profit and Loss'!D9</f>
        <v>3905475.0874603945</v>
      </c>
      <c r="E5" s="4">
        <f ca="1">'Profit and Loss'!E9</f>
        <v>7107881.4970227256</v>
      </c>
      <c r="F5" s="4">
        <f ca="1">'Profit and Loss'!F9</f>
        <v>9744173.9888124187</v>
      </c>
      <c r="G5" s="4">
        <f ca="1">'Profit and Loss'!G9</f>
        <v>11362353.481064131</v>
      </c>
      <c r="H5" s="4">
        <f ca="1">'Profit and Loss'!H9</f>
        <v>12843634.155802898</v>
      </c>
      <c r="I5" s="4">
        <f ca="1">'Profit and Loss'!I9</f>
        <v>13407502.862620756</v>
      </c>
      <c r="J5" s="4">
        <f ca="1">'Profit and Loss'!J9</f>
        <v>14074069.878106622</v>
      </c>
      <c r="K5" s="4">
        <f ca="1">'Profit and Loss'!K9</f>
        <v>14856847.389050566</v>
      </c>
      <c r="L5" s="4">
        <f ca="1">'Profit and Loss'!L9</f>
        <v>15380625.860096931</v>
      </c>
      <c r="M5" s="4">
        <f ca="1">'Profit and Loss'!M9</f>
        <v>15982694.967403702</v>
      </c>
      <c r="N5" s="4">
        <f ca="1">'Profit and Loss'!N9</f>
        <v>16672712.344946796</v>
      </c>
      <c r="O5" s="4">
        <f ca="1">'Profit and Loss'!O9</f>
        <v>17225337.053545423</v>
      </c>
      <c r="P5" s="4">
        <f ca="1">'Profit and Loss'!P9</f>
        <v>17599636.10122446</v>
      </c>
      <c r="Q5" s="4">
        <f ca="1">'Profit and Loss'!Q9</f>
        <v>18016185.301993769</v>
      </c>
      <c r="R5" s="4">
        <f ca="1">'Profit and Loss'!R9</f>
        <v>18480292.564050831</v>
      </c>
      <c r="S5" s="4">
        <f ca="1">'Profit and Loss'!S9</f>
        <v>18997755.446865089</v>
      </c>
      <c r="T5" s="4">
        <f ca="1">'Profit and Loss'!T9</f>
        <v>19574898.633813761</v>
      </c>
      <c r="U5" s="4">
        <f ca="1">'Profit and Loss'!U9</f>
        <v>20218613.971927766</v>
      </c>
      <c r="V5" s="4">
        <f ca="1">'Profit and Loss'!V9</f>
        <v>20936403.242830575</v>
      </c>
      <c r="W5" s="4">
        <f ca="1">'Profit and Loss'!W9</f>
        <v>21371768.081999879</v>
      </c>
      <c r="X5" s="4">
        <f ca="1">'Profit and Loss'!X9</f>
        <v>21846509.796908513</v>
      </c>
      <c r="Y5" s="4">
        <f ca="1">'Profit and Loss'!Y9</f>
        <v>22365321.453612268</v>
      </c>
      <c r="Z5" s="4">
        <f ca="1">'Profit and Loss'!Z9</f>
        <v>22933314.549141243</v>
      </c>
      <c r="AA5" s="4">
        <f ca="1">'Profit and Loss'!AA9</f>
        <v>23556049.787772361</v>
      </c>
      <c r="AB5" s="4">
        <f ca="1">'Profit and Loss'!AB9</f>
        <v>24239569.869662132</v>
      </c>
      <c r="AC5" s="4">
        <f ca="1">'Profit and Loss'!AC9</f>
        <v>24990434.413823344</v>
      </c>
      <c r="AD5" s="4">
        <f ca="1">'Profit and Loss'!AD9</f>
        <v>25815757.14445506</v>
      </c>
      <c r="AE5" s="4">
        <f ca="1">'Profit and Loss'!AE9</f>
        <v>26183498.991466209</v>
      </c>
      <c r="AF5" s="4">
        <f ca="1">'Profit and Loss'!AF9</f>
        <v>26570678.673973937</v>
      </c>
      <c r="AG5" s="4"/>
      <c r="AH5" s="4"/>
      <c r="AI5" s="4"/>
      <c r="AJ5" s="4"/>
      <c r="AK5" s="4"/>
      <c r="AL5" s="4"/>
      <c r="AM5" s="4"/>
      <c r="AN5" s="4"/>
      <c r="AO5" s="4"/>
      <c r="AP5" s="4"/>
    </row>
    <row r="6" spans="1:42" x14ac:dyDescent="0.35">
      <c r="A6" t="s">
        <v>21</v>
      </c>
      <c r="C6" s="4">
        <f>Depreciation!C8+Depreciation!C9</f>
        <v>3195404.6913929372</v>
      </c>
      <c r="D6" s="4">
        <f>Depreciation!D8+Depreciation!D9</f>
        <v>3701429.5403975109</v>
      </c>
      <c r="E6" s="4">
        <f>Depreciation!E8+Depreciation!E9</f>
        <v>4236567.8853343911</v>
      </c>
      <c r="F6" s="4">
        <f>Depreciation!F8+Depreciation!F9</f>
        <v>4802164.8204978649</v>
      </c>
      <c r="G6" s="4">
        <f>Depreciation!G8+Depreciation!G9</f>
        <v>5399621.7139972188</v>
      </c>
      <c r="H6" s="4">
        <f>Depreciation!H8+Depreciation!H9</f>
        <v>6030398.4319043402</v>
      </c>
      <c r="I6" s="4">
        <f>Depreciation!I8+Depreciation!I9</f>
        <v>6696015.647122385</v>
      </c>
      <c r="J6" s="4">
        <f>Depreciation!J8+Depreciation!J9</f>
        <v>7398057.236120116</v>
      </c>
      <c r="K6" s="4">
        <f>Depreciation!K8+Depreciation!K9</f>
        <v>8138172.7667910475</v>
      </c>
      <c r="L6" s="4">
        <f>Depreciation!L8+Depreciation!L9</f>
        <v>8918080.080815129</v>
      </c>
      <c r="M6" s="4">
        <f>Depreciation!M8+Depreciation!M9</f>
        <v>9739567.9740235601</v>
      </c>
      <c r="N6" s="4">
        <f>Depreciation!N8+Depreciation!N9</f>
        <v>10604498.978394575</v>
      </c>
      <c r="O6" s="4">
        <f>Depreciation!O8+Depreciation!O9</f>
        <v>11514812.249439938</v>
      </c>
      <c r="P6" s="4">
        <f>Depreciation!P8+Depreciation!P9</f>
        <v>12472526.562878324</v>
      </c>
      <c r="Q6" s="4">
        <f>Depreciation!Q8+Depreciation!Q9</f>
        <v>13479743.424633339</v>
      </c>
      <c r="R6" s="4">
        <f>Depreciation!R8+Depreciation!R9</f>
        <v>14538650.298340291</v>
      </c>
      <c r="S6" s="4">
        <f>Depreciation!S8+Depreciation!S9</f>
        <v>15651523.954697665</v>
      </c>
      <c r="T6" s="4">
        <f>Depreciation!T8+Depreciation!T9</f>
        <v>16820733.947156411</v>
      </c>
      <c r="U6" s="4">
        <f>Depreciation!U8+Depreciation!U9</f>
        <v>18048746.218602899</v>
      </c>
      <c r="V6" s="4">
        <f>Depreciation!V8+Depreciation!V9</f>
        <v>19338126.843860082</v>
      </c>
      <c r="W6" s="4">
        <f>Depreciation!W8+Depreciation!W9</f>
        <v>20691545.913005877</v>
      </c>
      <c r="X6" s="4">
        <f>Depreciation!X8+Depreciation!X9</f>
        <v>22111781.560688883</v>
      </c>
      <c r="Y6" s="4">
        <f>Depreciation!Y8+Depreciation!Y9</f>
        <v>23601724.146808684</v>
      </c>
      <c r="Z6" s="4">
        <f>Depreciation!Z8+Depreciation!Z9</f>
        <v>25164380.594122011</v>
      </c>
      <c r="AA6" s="4">
        <f>Depreciation!AA8+Depreciation!AA9</f>
        <v>26802878.888537064</v>
      </c>
      <c r="AB6" s="4">
        <f>Depreciation!AB8+Depreciation!AB9</f>
        <v>28520472.748066287</v>
      </c>
      <c r="AC6" s="4">
        <f>Depreciation!AC8+Depreciation!AC9</f>
        <v>30320546.466623522</v>
      </c>
      <c r="AD6" s="4">
        <f>Depreciation!AD8+Depreciation!AD9</f>
        <v>32206619.939074408</v>
      </c>
      <c r="AE6" s="4">
        <f>Depreciation!AE8+Depreciation!AE9</f>
        <v>34182353.874180317</v>
      </c>
      <c r="AF6" s="4">
        <f>Depreciation!AF8+Depreciation!AF9</f>
        <v>36251555.20231539</v>
      </c>
      <c r="AG6" s="4"/>
      <c r="AH6" s="4"/>
      <c r="AI6" s="4"/>
      <c r="AJ6" s="4"/>
      <c r="AK6" s="4"/>
      <c r="AL6" s="4"/>
      <c r="AM6" s="4"/>
      <c r="AN6" s="4"/>
      <c r="AO6" s="4"/>
      <c r="AP6" s="4"/>
    </row>
    <row r="7" spans="1:42" x14ac:dyDescent="0.35">
      <c r="A7" t="s">
        <v>23</v>
      </c>
      <c r="C7" s="4">
        <f ca="1">C6+C5</f>
        <v>3139642.254008722</v>
      </c>
      <c r="D7" s="4">
        <f ca="1">D6+D5</f>
        <v>7606904.6278579049</v>
      </c>
      <c r="E7" s="4">
        <f t="shared" ref="E7:AF7" ca="1" si="1">E6+E5</f>
        <v>11344449.382357117</v>
      </c>
      <c r="F7" s="4">
        <f t="shared" ca="1" si="1"/>
        <v>14546338.809310284</v>
      </c>
      <c r="G7" s="4">
        <f ca="1">G6+G5</f>
        <v>16761975.19506135</v>
      </c>
      <c r="H7" s="4">
        <f t="shared" ca="1" si="1"/>
        <v>18874032.587707236</v>
      </c>
      <c r="I7" s="4">
        <f t="shared" ca="1" si="1"/>
        <v>20103518.509743139</v>
      </c>
      <c r="J7" s="4">
        <f t="shared" ca="1" si="1"/>
        <v>21472127.114226736</v>
      </c>
      <c r="K7" s="4">
        <f t="shared" ca="1" si="1"/>
        <v>22995020.155841611</v>
      </c>
      <c r="L7" s="4">
        <f t="shared" ca="1" si="1"/>
        <v>24298705.94091206</v>
      </c>
      <c r="M7" s="4">
        <f t="shared" ca="1" si="1"/>
        <v>25722262.941427261</v>
      </c>
      <c r="N7" s="4">
        <f t="shared" ca="1" si="1"/>
        <v>27277211.32334137</v>
      </c>
      <c r="O7" s="4">
        <f t="shared" ca="1" si="1"/>
        <v>28740149.302985363</v>
      </c>
      <c r="P7" s="4">
        <f t="shared" ca="1" si="1"/>
        <v>30072162.664102785</v>
      </c>
      <c r="Q7" s="4">
        <f t="shared" ca="1" si="1"/>
        <v>31495928.726627108</v>
      </c>
      <c r="R7" s="4">
        <f t="shared" ca="1" si="1"/>
        <v>33018942.862391122</v>
      </c>
      <c r="S7" s="4">
        <f t="shared" ca="1" si="1"/>
        <v>34649279.40156275</v>
      </c>
      <c r="T7" s="4">
        <f t="shared" ca="1" si="1"/>
        <v>36395632.580970168</v>
      </c>
      <c r="U7" s="4">
        <f t="shared" ca="1" si="1"/>
        <v>38267360.190530665</v>
      </c>
      <c r="V7" s="4">
        <f t="shared" ca="1" si="1"/>
        <v>40274530.086690657</v>
      </c>
      <c r="W7" s="4">
        <f t="shared" ca="1" si="1"/>
        <v>42063313.995005757</v>
      </c>
      <c r="X7" s="4">
        <f t="shared" ca="1" si="1"/>
        <v>43958291.357597396</v>
      </c>
      <c r="Y7" s="4">
        <f t="shared" ca="1" si="1"/>
        <v>45967045.600420952</v>
      </c>
      <c r="Z7" s="4">
        <f t="shared" ca="1" si="1"/>
        <v>48097695.143263251</v>
      </c>
      <c r="AA7" s="4">
        <f t="shared" ca="1" si="1"/>
        <v>50358928.676309422</v>
      </c>
      <c r="AB7" s="4">
        <f t="shared" ca="1" si="1"/>
        <v>52760042.61772842</v>
      </c>
      <c r="AC7" s="4">
        <f t="shared" ca="1" si="1"/>
        <v>55310980.880446866</v>
      </c>
      <c r="AD7" s="4">
        <f t="shared" ca="1" si="1"/>
        <v>58022377.083529472</v>
      </c>
      <c r="AE7" s="4">
        <f t="shared" ca="1" si="1"/>
        <v>60365852.865646526</v>
      </c>
      <c r="AF7" s="4">
        <f t="shared" ca="1" si="1"/>
        <v>62822233.876289323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19497564.691392936</v>
      </c>
      <c r="D10" s="9">
        <f>Investment!D25</f>
        <v>20525258.660397507</v>
      </c>
      <c r="E10" s="9">
        <f>Investment!E25</f>
        <v>21598759.537174392</v>
      </c>
      <c r="F10" s="9">
        <f>Investment!F25</f>
        <v>22719946.60519674</v>
      </c>
      <c r="G10" s="9">
        <f>Investment!G25</f>
        <v>23890772.515806459</v>
      </c>
      <c r="H10" s="9">
        <f>Investment!H25</f>
        <v>25113266.059371475</v>
      </c>
      <c r="I10" s="9">
        <f>Investment!I25</f>
        <v>26389535.038668469</v>
      </c>
      <c r="J10" s="9">
        <f>Investment!J25</f>
        <v>27721769.248195678</v>
      </c>
      <c r="K10" s="9">
        <f>Investment!K25</f>
        <v>29112243.56325303</v>
      </c>
      <c r="L10" s="9">
        <f>Investment!L25</f>
        <v>30563321.14276389</v>
      </c>
      <c r="M10" s="9">
        <f>Investment!M25</f>
        <v>32077456.749954682</v>
      </c>
      <c r="N10" s="9">
        <f>Investment!N25</f>
        <v>33657200.195155494</v>
      </c>
      <c r="O10" s="9">
        <f>Investment!O25</f>
        <v>35305199.905137204</v>
      </c>
      <c r="P10" s="9">
        <f>Investment!P25</f>
        <v>37024206.623557903</v>
      </c>
      <c r="Q10" s="9">
        <f>Investment!Q25</f>
        <v>38817077.247254662</v>
      </c>
      <c r="R10" s="9">
        <f>Investment!R25</f>
        <v>40686778.803285494</v>
      </c>
      <c r="S10" s="9">
        <f>Investment!S25</f>
        <v>42636392.571801126</v>
      </c>
      <c r="T10" s="9">
        <f>Investment!T25</f>
        <v>44669118.360007174</v>
      </c>
      <c r="U10" s="9">
        <f>Investment!U25</f>
        <v>46788278.932664886</v>
      </c>
      <c r="V10" s="9">
        <f>Investment!V25</f>
        <v>48997324.604772054</v>
      </c>
      <c r="W10" s="9">
        <f>Investment!W25</f>
        <v>51299838.00226704</v>
      </c>
      <c r="X10" s="9">
        <f>Investment!X25</f>
        <v>53699538.996806391</v>
      </c>
      <c r="Y10" s="9">
        <f>Investment!Y25</f>
        <v>56200289.820881948</v>
      </c>
      <c r="Z10" s="9">
        <f>Investment!Z25</f>
        <v>58806100.369765624</v>
      </c>
      <c r="AA10" s="9">
        <f>Investment!AA25</f>
        <v>61521133.697001286</v>
      </c>
      <c r="AB10" s="9">
        <f>Investment!AB25</f>
        <v>64349711.710401356</v>
      </c>
      <c r="AC10" s="9">
        <f>Investment!AC25</f>
        <v>67296321.075753301</v>
      </c>
      <c r="AD10" s="9">
        <f>Investment!AD25</f>
        <v>70365619.335696355</v>
      </c>
      <c r="AE10" s="9">
        <f>Investment!AE25</f>
        <v>73562441.251494154</v>
      </c>
      <c r="AF10" s="9">
        <f>Investment!AF25</f>
        <v>76891805.375703275</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-16357922.437384214</v>
      </c>
      <c r="D12" s="1">
        <f t="shared" ref="D12:AF12" ca="1" si="2">D7-D9-D10</f>
        <v>-12918354.032539602</v>
      </c>
      <c r="E12" s="1">
        <f ca="1">E7-E9-E10</f>
        <v>-10254310.154817276</v>
      </c>
      <c r="F12" s="1">
        <f t="shared" ca="1" si="2"/>
        <v>-8173607.795886457</v>
      </c>
      <c r="G12" s="1">
        <f ca="1">G7-G9-G10</f>
        <v>-7128797.3207451086</v>
      </c>
      <c r="H12" s="1">
        <f t="shared" ca="1" si="2"/>
        <v>-6239233.4716642387</v>
      </c>
      <c r="I12" s="1">
        <f t="shared" ca="1" si="2"/>
        <v>-6286016.5289253294</v>
      </c>
      <c r="J12" s="1">
        <f t="shared" ca="1" si="2"/>
        <v>-6249642.1339689419</v>
      </c>
      <c r="K12" s="1">
        <f t="shared" ca="1" si="2"/>
        <v>-6117223.4074114189</v>
      </c>
      <c r="L12" s="1">
        <f t="shared" ca="1" si="2"/>
        <v>-6264615.2018518299</v>
      </c>
      <c r="M12" s="1">
        <f t="shared" ca="1" si="2"/>
        <v>-6355193.8085274212</v>
      </c>
      <c r="N12" s="1">
        <f t="shared" ca="1" si="2"/>
        <v>-6379988.8718141243</v>
      </c>
      <c r="O12" s="1">
        <f t="shared" ca="1" si="2"/>
        <v>-6565050.6021518409</v>
      </c>
      <c r="P12" s="1">
        <f t="shared" ca="1" si="2"/>
        <v>-6952043.9594551176</v>
      </c>
      <c r="Q12" s="1">
        <f t="shared" ca="1" si="2"/>
        <v>-7321148.5206275545</v>
      </c>
      <c r="R12" s="1">
        <f t="shared" ca="1" si="2"/>
        <v>-7667835.9408943728</v>
      </c>
      <c r="S12" s="1">
        <f t="shared" ca="1" si="2"/>
        <v>-7987113.1702383757</v>
      </c>
      <c r="T12" s="1">
        <f t="shared" ca="1" si="2"/>
        <v>-8273485.7790370062</v>
      </c>
      <c r="U12" s="1">
        <f t="shared" ca="1" si="2"/>
        <v>-8520918.7421342209</v>
      </c>
      <c r="V12" s="1">
        <f t="shared" ca="1" si="2"/>
        <v>-8722794.5180813968</v>
      </c>
      <c r="W12" s="1">
        <f t="shared" ca="1" si="2"/>
        <v>-9236524.0072612837</v>
      </c>
      <c r="X12" s="1">
        <f t="shared" ca="1" si="2"/>
        <v>-9741247.6392089948</v>
      </c>
      <c r="Y12" s="1">
        <f t="shared" ca="1" si="2"/>
        <v>-10233244.220460996</v>
      </c>
      <c r="Z12" s="1">
        <f t="shared" ca="1" si="2"/>
        <v>-10708405.226502374</v>
      </c>
      <c r="AA12" s="1">
        <f t="shared" ca="1" si="2"/>
        <v>-11162205.020691864</v>
      </c>
      <c r="AB12" s="1">
        <f t="shared" ca="1" si="2"/>
        <v>-11589669.092672937</v>
      </c>
      <c r="AC12" s="1">
        <f t="shared" ca="1" si="2"/>
        <v>-11985340.195306435</v>
      </c>
      <c r="AD12" s="1">
        <f t="shared" ca="1" si="2"/>
        <v>-12343242.252166882</v>
      </c>
      <c r="AE12" s="1">
        <f t="shared" ca="1" si="2"/>
        <v>-13196588.385847628</v>
      </c>
      <c r="AF12" s="1">
        <f t="shared" ca="1" si="2"/>
        <v>-14069571.499413952</v>
      </c>
      <c r="AG12" s="1"/>
      <c r="AH12" s="1"/>
      <c r="AI12" s="1"/>
      <c r="AJ12" s="1"/>
      <c r="AK12" s="1"/>
      <c r="AL12" s="1"/>
      <c r="AM12" s="1"/>
      <c r="AN12" s="1"/>
      <c r="AO12" s="1"/>
      <c r="AP12" s="1"/>
    </row>
    <row r="13" spans="1:42" x14ac:dyDescent="0.35">
      <c r="A13" t="s">
        <v>19</v>
      </c>
      <c r="C13" s="1">
        <f ca="1">C12</f>
        <v>-16357922.437384214</v>
      </c>
      <c r="D13" s="1">
        <f ca="1">D12</f>
        <v>-12918354.032539602</v>
      </c>
      <c r="E13" s="1">
        <f ca="1">E12</f>
        <v>-10254310.154817276</v>
      </c>
      <c r="F13" s="1">
        <f t="shared" ref="F13:AF13" ca="1" si="3">F12</f>
        <v>-8173607.795886457</v>
      </c>
      <c r="G13" s="1">
        <f ca="1">G12</f>
        <v>-7128797.3207451086</v>
      </c>
      <c r="H13" s="1">
        <f t="shared" ca="1" si="3"/>
        <v>-6239233.4716642387</v>
      </c>
      <c r="I13" s="1">
        <f t="shared" ca="1" si="3"/>
        <v>-6286016.5289253294</v>
      </c>
      <c r="J13" s="1">
        <f t="shared" ca="1" si="3"/>
        <v>-6249642.1339689419</v>
      </c>
      <c r="K13" s="1">
        <f t="shared" ca="1" si="3"/>
        <v>-6117223.4074114189</v>
      </c>
      <c r="L13" s="1">
        <f t="shared" ca="1" si="3"/>
        <v>-6264615.2018518299</v>
      </c>
      <c r="M13" s="1">
        <f t="shared" ca="1" si="3"/>
        <v>-6355193.8085274212</v>
      </c>
      <c r="N13" s="1">
        <f t="shared" ca="1" si="3"/>
        <v>-6379988.8718141243</v>
      </c>
      <c r="O13" s="1">
        <f t="shared" ca="1" si="3"/>
        <v>-6565050.6021518409</v>
      </c>
      <c r="P13" s="1">
        <f t="shared" ca="1" si="3"/>
        <v>-6952043.9594551176</v>
      </c>
      <c r="Q13" s="1">
        <f t="shared" ca="1" si="3"/>
        <v>-7321148.5206275545</v>
      </c>
      <c r="R13" s="1">
        <f t="shared" ca="1" si="3"/>
        <v>-7667835.9408943728</v>
      </c>
      <c r="S13" s="1">
        <f t="shared" ca="1" si="3"/>
        <v>-7987113.1702383757</v>
      </c>
      <c r="T13" s="1">
        <f t="shared" ca="1" si="3"/>
        <v>-8273485.7790370062</v>
      </c>
      <c r="U13" s="1">
        <f t="shared" ca="1" si="3"/>
        <v>-8520918.7421342209</v>
      </c>
      <c r="V13" s="1">
        <f t="shared" ca="1" si="3"/>
        <v>-8722794.5180813968</v>
      </c>
      <c r="W13" s="1">
        <f t="shared" ca="1" si="3"/>
        <v>-9236524.0072612837</v>
      </c>
      <c r="X13" s="1">
        <f t="shared" ca="1" si="3"/>
        <v>-9741247.6392089948</v>
      </c>
      <c r="Y13" s="1">
        <f t="shared" ca="1" si="3"/>
        <v>-10233244.220460996</v>
      </c>
      <c r="Z13" s="1">
        <f t="shared" ca="1" si="3"/>
        <v>-10708405.226502374</v>
      </c>
      <c r="AA13" s="1">
        <f t="shared" ca="1" si="3"/>
        <v>-11162205.020691864</v>
      </c>
      <c r="AB13" s="1">
        <f t="shared" ca="1" si="3"/>
        <v>-11589669.092672937</v>
      </c>
      <c r="AC13" s="1">
        <f t="shared" ca="1" si="3"/>
        <v>-11985340.195306435</v>
      </c>
      <c r="AD13" s="1">
        <f t="shared" ca="1" si="3"/>
        <v>-12343242.252166882</v>
      </c>
      <c r="AE13" s="1">
        <f t="shared" ca="1" si="3"/>
        <v>-13196588.385847628</v>
      </c>
      <c r="AF13" s="1">
        <f t="shared" ca="1" si="3"/>
        <v>-14069571.499413952</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140</v>
      </c>
      <c r="C6" s="9">
        <f>Assumptions!C17</f>
        <v>171144459.75</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85572229.875</v>
      </c>
      <c r="D7" s="9">
        <f>C12</f>
        <v>88767634.566392943</v>
      </c>
      <c r="E7" s="9">
        <f>D12</f>
        <v>92469064.106790453</v>
      </c>
      <c r="F7" s="9">
        <f t="shared" ref="F7:H7" si="1">E12</f>
        <v>96705631.992124841</v>
      </c>
      <c r="G7" s="9">
        <f t="shared" si="1"/>
        <v>101507796.8126227</v>
      </c>
      <c r="H7" s="9">
        <f t="shared" si="1"/>
        <v>106907418.52661991</v>
      </c>
      <c r="I7" s="9">
        <f t="shared" ref="I7" si="2">H12</f>
        <v>112937816.95852426</v>
      </c>
      <c r="J7" s="9">
        <f t="shared" ref="J7" si="3">I12</f>
        <v>119633832.60564664</v>
      </c>
      <c r="K7" s="9">
        <f t="shared" ref="K7" si="4">J12</f>
        <v>127031889.84176676</v>
      </c>
      <c r="L7" s="9">
        <f t="shared" ref="L7" si="5">K12</f>
        <v>135170062.60855782</v>
      </c>
      <c r="M7" s="9">
        <f t="shared" ref="M7" si="6">L12</f>
        <v>144088142.68937296</v>
      </c>
      <c r="N7" s="9">
        <f t="shared" ref="N7" si="7">M12</f>
        <v>153827710.66339654</v>
      </c>
      <c r="O7" s="9">
        <f t="shared" ref="O7" si="8">N12</f>
        <v>164432209.64179111</v>
      </c>
      <c r="P7" s="9">
        <f t="shared" ref="P7" si="9">O12</f>
        <v>175947021.89123106</v>
      </c>
      <c r="Q7" s="9">
        <f t="shared" ref="Q7" si="10">P12</f>
        <v>188419548.45410937</v>
      </c>
      <c r="R7" s="9">
        <f t="shared" ref="R7" si="11">Q12</f>
        <v>201899291.87874272</v>
      </c>
      <c r="S7" s="9">
        <f t="shared" ref="S7" si="12">R12</f>
        <v>216437942.17708302</v>
      </c>
      <c r="T7" s="9">
        <f t="shared" ref="T7" si="13">S12</f>
        <v>232089466.13178068</v>
      </c>
      <c r="U7" s="9">
        <f t="shared" ref="U7" si="14">T12</f>
        <v>248910200.07893711</v>
      </c>
      <c r="V7" s="9">
        <f t="shared" ref="V7" si="15">U12</f>
        <v>266958946.29754001</v>
      </c>
      <c r="W7" s="9">
        <f t="shared" ref="W7" si="16">V12</f>
        <v>286297073.1414001</v>
      </c>
      <c r="X7" s="9">
        <f t="shared" ref="X7" si="17">W12</f>
        <v>306988619.05440593</v>
      </c>
      <c r="Y7" s="9">
        <f t="shared" ref="Y7" si="18">X12</f>
        <v>329100400.61509484</v>
      </c>
      <c r="Z7" s="9">
        <f t="shared" ref="Z7" si="19">Y12</f>
        <v>352702124.76190352</v>
      </c>
      <c r="AA7" s="9">
        <f t="shared" ref="AA7" si="20">Z12</f>
        <v>377866505.35602552</v>
      </c>
      <c r="AB7" s="9">
        <f t="shared" ref="AB7" si="21">AA12</f>
        <v>404669384.24456257</v>
      </c>
      <c r="AC7" s="9">
        <f t="shared" ref="AC7" si="22">AB12</f>
        <v>433189856.99262887</v>
      </c>
      <c r="AD7" s="9">
        <f t="shared" ref="AD7" si="23">AC12</f>
        <v>463510403.45925242</v>
      </c>
      <c r="AE7" s="9">
        <f t="shared" ref="AE7" si="24">AD12</f>
        <v>495717023.39832687</v>
      </c>
      <c r="AF7" s="9">
        <f t="shared" ref="AF7" si="25">AE12</f>
        <v>529899377.27250719</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141</v>
      </c>
      <c r="C8" s="9">
        <f>Assumptions!D111*Assumptions!D11</f>
        <v>2804152.8513929374</v>
      </c>
      <c r="D8" s="9">
        <f>Assumptions!E111*Assumptions!E11</f>
        <v>2893885.7426375109</v>
      </c>
      <c r="E8" s="9">
        <f>Assumptions!F111*Assumptions!F11</f>
        <v>2986490.0864019115</v>
      </c>
      <c r="F8" s="9">
        <f>Assumptions!G111*Assumptions!G11</f>
        <v>3082057.7691667723</v>
      </c>
      <c r="G8" s="9">
        <f>Assumptions!H111*Assumptions!H11</f>
        <v>3180683.6177801094</v>
      </c>
      <c r="H8" s="9">
        <f>Assumptions!I111*Assumptions!I11</f>
        <v>3282465.4935490726</v>
      </c>
      <c r="I8" s="9">
        <f>Assumptions!J111*Assumptions!J11</f>
        <v>3387504.3893426424</v>
      </c>
      <c r="J8" s="9">
        <f>Assumptions!K111*Assumptions!K11</f>
        <v>3495904.5298016076</v>
      </c>
      <c r="K8" s="9">
        <f>Assumptions!L111*Assumptions!L11</f>
        <v>3607773.4747552592</v>
      </c>
      <c r="L8" s="9">
        <f>Assumptions!M111*Assumptions!M11</f>
        <v>3723222.2259474271</v>
      </c>
      <c r="M8" s="9">
        <f>Assumptions!N111*Assumptions!N11</f>
        <v>3842365.3371777446</v>
      </c>
      <c r="N8" s="9">
        <f>Assumptions!O111*Assumptions!O11</f>
        <v>3965321.0279674325</v>
      </c>
      <c r="O8" s="9">
        <f>Assumptions!P111*Assumptions!P11</f>
        <v>4092211.300862391</v>
      </c>
      <c r="P8" s="9">
        <f>Assumptions!Q111*Assumptions!Q11</f>
        <v>4223162.0624899864</v>
      </c>
      <c r="Q8" s="9">
        <f>Assumptions!R111*Assumptions!R11</f>
        <v>4358303.2484896658</v>
      </c>
      <c r="R8" s="9">
        <f>Assumptions!S111*Assumptions!S11</f>
        <v>4497768.9524413357</v>
      </c>
      <c r="S8" s="9">
        <f>Assumptions!T111*Assumptions!T11</f>
        <v>4641697.5589194587</v>
      </c>
      <c r="T8" s="9">
        <f>Assumptions!U111*Assumptions!U11</f>
        <v>4790231.8808048815</v>
      </c>
      <c r="U8" s="9">
        <f>Assumptions!V111*Assumptions!V11</f>
        <v>4943519.3009906365</v>
      </c>
      <c r="V8" s="9">
        <f>Assumptions!W111*Assumptions!W11</f>
        <v>5101711.9186223373</v>
      </c>
      <c r="W8" s="9">
        <f>Assumptions!X111*Assumptions!X11</f>
        <v>5264966.7000182532</v>
      </c>
      <c r="X8" s="9">
        <f>Assumptions!Y111*Assumptions!Y11</f>
        <v>5433445.6344188368</v>
      </c>
      <c r="Y8" s="9">
        <f>Assumptions!Z111*Assumptions!Z11</f>
        <v>5607315.8947202386</v>
      </c>
      <c r="Z8" s="9">
        <f>Assumptions!AA111*Assumptions!AA11</f>
        <v>5786750.0033512861</v>
      </c>
      <c r="AA8" s="9">
        <f>Assumptions!AB111*Assumptions!AB11</f>
        <v>5971926.0034585288</v>
      </c>
      <c r="AB8" s="9">
        <f>Assumptions!AC111*Assumptions!AC11</f>
        <v>6163027.6355692009</v>
      </c>
      <c r="AC8" s="9">
        <f>Assumptions!AD111*Assumptions!AD11</f>
        <v>6360244.5199074149</v>
      </c>
      <c r="AD8" s="9">
        <f>Assumptions!AE111*Assumptions!AE11</f>
        <v>6563772.3445444526</v>
      </c>
      <c r="AE8" s="9">
        <f>Assumptions!AF111*Assumptions!AF11</f>
        <v>6773813.0595698748</v>
      </c>
      <c r="AF8" s="9">
        <f>Assumptions!AG111*Assumptions!AG11</f>
        <v>6990575.0774761103</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391251.84</v>
      </c>
      <c r="D9" s="9">
        <f>Assumptions!E120*Assumptions!E11</f>
        <v>807543.79775999999</v>
      </c>
      <c r="E9" s="9">
        <f>Assumptions!F120*Assumptions!F11</f>
        <v>1250077.7989324799</v>
      </c>
      <c r="F9" s="9">
        <f>Assumptions!G120*Assumptions!G11</f>
        <v>1720107.0513310924</v>
      </c>
      <c r="G9" s="9">
        <f>Assumptions!H120*Assumptions!H11</f>
        <v>2218938.0962171089</v>
      </c>
      <c r="H9" s="9">
        <f>Assumptions!I120*Assumptions!I11</f>
        <v>2747932.938355268</v>
      </c>
      <c r="I9" s="9">
        <f>Assumptions!J120*Assumptions!J11</f>
        <v>3308511.2577797421</v>
      </c>
      <c r="J9" s="9">
        <f>Assumptions!K120*Assumptions!K11</f>
        <v>3902152.7063185079</v>
      </c>
      <c r="K9" s="9">
        <f>Assumptions!L120*Assumptions!L11</f>
        <v>4530399.2920357883</v>
      </c>
      <c r="L9" s="9">
        <f>Assumptions!M120*Assumptions!M11</f>
        <v>5194857.8548677024</v>
      </c>
      <c r="M9" s="9">
        <f>Assumptions!N120*Assumptions!N11</f>
        <v>5897202.636845815</v>
      </c>
      <c r="N9" s="9">
        <f>Assumptions!O120*Assumptions!O11</f>
        <v>6639177.9504271429</v>
      </c>
      <c r="O9" s="9">
        <f>Assumptions!P120*Assumptions!P11</f>
        <v>7422600.9485775465</v>
      </c>
      <c r="P9" s="9">
        <f>Assumptions!Q120*Assumptions!Q11</f>
        <v>8249364.5003883373</v>
      </c>
      <c r="Q9" s="9">
        <f>Assumptions!R120*Assumptions!R11</f>
        <v>9121440.1761436742</v>
      </c>
      <c r="R9" s="9">
        <f>Assumptions!S120*Assumptions!S11</f>
        <v>10040881.345898956</v>
      </c>
      <c r="S9" s="9">
        <f>Assumptions!T120*Assumptions!T11</f>
        <v>11009826.395778207</v>
      </c>
      <c r="T9" s="9">
        <f>Assumptions!U120*Assumptions!U11</f>
        <v>12030502.066351529</v>
      </c>
      <c r="U9" s="9">
        <f>Assumptions!V120*Assumptions!V11</f>
        <v>13105226.917612262</v>
      </c>
      <c r="V9" s="9">
        <f>Assumptions!W120*Assumptions!W11</f>
        <v>14236414.925237745</v>
      </c>
      <c r="W9" s="9">
        <f>Assumptions!X120*Assumptions!X11</f>
        <v>15426579.212987624</v>
      </c>
      <c r="X9" s="9">
        <f>Assumptions!Y120*Assumptions!Y11</f>
        <v>16678335.926270047</v>
      </c>
      <c r="Y9" s="9">
        <f>Assumptions!Z120*Assumptions!Z11</f>
        <v>17994408.252088446</v>
      </c>
      <c r="Z9" s="9">
        <f>Assumptions!AA120*Assumptions!AA11</f>
        <v>19377630.590770725</v>
      </c>
      <c r="AA9" s="9">
        <f>Assumptions!AB120*Assumptions!AB11</f>
        <v>20830952.885078534</v>
      </c>
      <c r="AB9" s="9">
        <f>Assumptions!AC120*Assumptions!AC11</f>
        <v>22357445.112497088</v>
      </c>
      <c r="AC9" s="9">
        <f>Assumptions!AD120*Assumptions!AD11</f>
        <v>23960301.946716107</v>
      </c>
      <c r="AD9" s="9">
        <f>Assumptions!AE120*Assumptions!AE11</f>
        <v>25642847.594529957</v>
      </c>
      <c r="AE9" s="9">
        <f>Assumptions!AF120*Assumptions!AF11</f>
        <v>27408540.81461044</v>
      </c>
      <c r="AF9" s="9">
        <f>Assumptions!AG120*Assumptions!AG11</f>
        <v>29260980.124839284</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3195404.6913929372</v>
      </c>
      <c r="D10" s="9">
        <f>SUM($C$8:D9)</f>
        <v>6896834.2317904476</v>
      </c>
      <c r="E10" s="9">
        <f>SUM($C$8:E9)</f>
        <v>11133402.117124841</v>
      </c>
      <c r="F10" s="9">
        <f>SUM($C$8:F9)</f>
        <v>15935566.937622704</v>
      </c>
      <c r="G10" s="9">
        <f>SUM($C$8:G9)</f>
        <v>21335188.651619926</v>
      </c>
      <c r="H10" s="9">
        <f>SUM($C$8:H9)</f>
        <v>27365587.083524264</v>
      </c>
      <c r="I10" s="9">
        <f>SUM($C$8:I9)</f>
        <v>34061602.730646648</v>
      </c>
      <c r="J10" s="9">
        <f>SUM($C$8:J9)</f>
        <v>41459659.96676676</v>
      </c>
      <c r="K10" s="9">
        <f>SUM($C$8:K9)</f>
        <v>49597832.733557805</v>
      </c>
      <c r="L10" s="9">
        <f>SUM($C$8:L9)</f>
        <v>58515912.814372942</v>
      </c>
      <c r="M10" s="9">
        <f>SUM($C$8:M9)</f>
        <v>68255480.788396508</v>
      </c>
      <c r="N10" s="9">
        <f>SUM($C$8:N9)</f>
        <v>78859979.766791075</v>
      </c>
      <c r="O10" s="9">
        <f>SUM($C$8:O9)</f>
        <v>90374792.016231015</v>
      </c>
      <c r="P10" s="9">
        <f>SUM($C$8:P9)</f>
        <v>102847318.57910934</v>
      </c>
      <c r="Q10" s="9">
        <f>SUM($C$8:Q9)</f>
        <v>116327062.00374268</v>
      </c>
      <c r="R10" s="9">
        <f>SUM($C$8:R9)</f>
        <v>130865712.30208299</v>
      </c>
      <c r="S10" s="9">
        <f>SUM($C$8:S9)</f>
        <v>146517236.25678065</v>
      </c>
      <c r="T10" s="9">
        <f>SUM($C$8:T9)</f>
        <v>163337970.20393705</v>
      </c>
      <c r="U10" s="9">
        <f>SUM($C$8:U9)</f>
        <v>181386716.42253995</v>
      </c>
      <c r="V10" s="9">
        <f>SUM($C$8:V9)</f>
        <v>200724843.26640001</v>
      </c>
      <c r="W10" s="9">
        <f>SUM($C$8:W9)</f>
        <v>221416389.1794059</v>
      </c>
      <c r="X10" s="9">
        <f>SUM($C$8:X9)</f>
        <v>243528170.74009478</v>
      </c>
      <c r="Y10" s="9">
        <f>SUM($C$8:Y9)</f>
        <v>267129894.88690346</v>
      </c>
      <c r="Z10" s="9">
        <f>SUM($C$8:Z9)</f>
        <v>292294275.48102546</v>
      </c>
      <c r="AA10" s="9">
        <f>SUM($C$8:AA9)</f>
        <v>319097154.36956257</v>
      </c>
      <c r="AB10" s="9">
        <f>SUM($C$8:AB9)</f>
        <v>347617627.11762887</v>
      </c>
      <c r="AC10" s="9">
        <f>SUM($C$8:AC9)</f>
        <v>377938173.58425236</v>
      </c>
      <c r="AD10" s="9">
        <f>SUM($C$8:AD9)</f>
        <v>410144793.52332675</v>
      </c>
      <c r="AE10" s="9">
        <f>SUM($C$8:AE9)</f>
        <v>444327147.39750713</v>
      </c>
      <c r="AF10" s="9">
        <f>SUM($C$8:AF9)</f>
        <v>480578702.59982258</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88767634.566392943</v>
      </c>
      <c r="D12" s="9">
        <f>D7+D8+D9</f>
        <v>92469064.106790453</v>
      </c>
      <c r="E12" s="9">
        <f>E7+E8+E9</f>
        <v>96705631.992124841</v>
      </c>
      <c r="F12" s="9">
        <f t="shared" ref="F12:H12" si="26">F7+F8+F9</f>
        <v>101507796.8126227</v>
      </c>
      <c r="G12" s="9">
        <f t="shared" si="26"/>
        <v>106907418.52661991</v>
      </c>
      <c r="H12" s="9">
        <f t="shared" si="26"/>
        <v>112937816.95852426</v>
      </c>
      <c r="I12" s="9">
        <f t="shared" ref="I12:AF12" si="27">I7+I8+I9</f>
        <v>119633832.60564664</v>
      </c>
      <c r="J12" s="9">
        <f t="shared" si="27"/>
        <v>127031889.84176676</v>
      </c>
      <c r="K12" s="9">
        <f t="shared" si="27"/>
        <v>135170062.60855782</v>
      </c>
      <c r="L12" s="9">
        <f t="shared" si="27"/>
        <v>144088142.68937296</v>
      </c>
      <c r="M12" s="9">
        <f t="shared" si="27"/>
        <v>153827710.66339654</v>
      </c>
      <c r="N12" s="9">
        <f t="shared" si="27"/>
        <v>164432209.64179111</v>
      </c>
      <c r="O12" s="9">
        <f t="shared" si="27"/>
        <v>175947021.89123106</v>
      </c>
      <c r="P12" s="9">
        <f t="shared" si="27"/>
        <v>188419548.45410937</v>
      </c>
      <c r="Q12" s="9">
        <f t="shared" si="27"/>
        <v>201899291.87874272</v>
      </c>
      <c r="R12" s="9">
        <f t="shared" si="27"/>
        <v>216437942.17708302</v>
      </c>
      <c r="S12" s="9">
        <f t="shared" si="27"/>
        <v>232089466.13178068</v>
      </c>
      <c r="T12" s="9">
        <f t="shared" si="27"/>
        <v>248910200.07893711</v>
      </c>
      <c r="U12" s="9">
        <f t="shared" si="27"/>
        <v>266958946.29754001</v>
      </c>
      <c r="V12" s="9">
        <f t="shared" si="27"/>
        <v>286297073.1414001</v>
      </c>
      <c r="W12" s="9">
        <f t="shared" si="27"/>
        <v>306988619.05440593</v>
      </c>
      <c r="X12" s="9">
        <f t="shared" si="27"/>
        <v>329100400.61509484</v>
      </c>
      <c r="Y12" s="9">
        <f t="shared" si="27"/>
        <v>352702124.76190352</v>
      </c>
      <c r="Z12" s="9">
        <f t="shared" si="27"/>
        <v>377866505.35602552</v>
      </c>
      <c r="AA12" s="9">
        <f t="shared" si="27"/>
        <v>404669384.24456257</v>
      </c>
      <c r="AB12" s="9">
        <f t="shared" si="27"/>
        <v>433189856.99262887</v>
      </c>
      <c r="AC12" s="9">
        <f t="shared" si="27"/>
        <v>463510403.45925242</v>
      </c>
      <c r="AD12" s="9">
        <f t="shared" si="27"/>
        <v>495717023.39832687</v>
      </c>
      <c r="AE12" s="9">
        <f t="shared" si="27"/>
        <v>529899377.27250719</v>
      </c>
      <c r="AF12" s="9">
        <f t="shared" si="27"/>
        <v>566150932.47482264</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19497564.691392936</v>
      </c>
      <c r="D18" s="9">
        <f>Investment!D25</f>
        <v>20525258.660397507</v>
      </c>
      <c r="E18" s="9">
        <f>Investment!E25</f>
        <v>21598759.537174392</v>
      </c>
      <c r="F18" s="9">
        <f>Investment!F25</f>
        <v>22719946.60519674</v>
      </c>
      <c r="G18" s="9">
        <f>Investment!G25</f>
        <v>23890772.515806459</v>
      </c>
      <c r="H18" s="9">
        <f>Investment!H25</f>
        <v>25113266.059371475</v>
      </c>
      <c r="I18" s="9">
        <f>Investment!I25</f>
        <v>26389535.038668469</v>
      </c>
      <c r="J18" s="9">
        <f>Investment!J25</f>
        <v>27721769.248195678</v>
      </c>
      <c r="K18" s="9">
        <f>Investment!K25</f>
        <v>29112243.56325303</v>
      </c>
      <c r="L18" s="9">
        <f>Investment!L25</f>
        <v>30563321.14276389</v>
      </c>
      <c r="M18" s="9">
        <f>Investment!M25</f>
        <v>32077456.749954682</v>
      </c>
      <c r="N18" s="9">
        <f>Investment!N25</f>
        <v>33657200.195155494</v>
      </c>
      <c r="O18" s="9">
        <f>Investment!O25</f>
        <v>35305199.905137204</v>
      </c>
      <c r="P18" s="9">
        <f>Investment!P25</f>
        <v>37024206.623557903</v>
      </c>
      <c r="Q18" s="9">
        <f>Investment!Q25</f>
        <v>38817077.247254662</v>
      </c>
      <c r="R18" s="9">
        <f>Investment!R25</f>
        <v>40686778.803285494</v>
      </c>
      <c r="S18" s="9">
        <f>Investment!S25</f>
        <v>42636392.571801126</v>
      </c>
      <c r="T18" s="9">
        <f>Investment!T25</f>
        <v>44669118.360007174</v>
      </c>
      <c r="U18" s="9">
        <f>Investment!U25</f>
        <v>46788278.932664886</v>
      </c>
      <c r="V18" s="9">
        <f>Investment!V25</f>
        <v>48997324.604772054</v>
      </c>
      <c r="W18" s="9">
        <f>Investment!W25</f>
        <v>51299838.00226704</v>
      </c>
      <c r="X18" s="9">
        <f>Investment!X25</f>
        <v>53699538.996806391</v>
      </c>
      <c r="Y18" s="9">
        <f>Investment!Y25</f>
        <v>56200289.820881948</v>
      </c>
      <c r="Z18" s="9">
        <f>Investment!Z25</f>
        <v>58806100.369765624</v>
      </c>
      <c r="AA18" s="9">
        <f>Investment!AA25</f>
        <v>61521133.697001286</v>
      </c>
      <c r="AB18" s="9">
        <f>Investment!AB25</f>
        <v>64349711.710401356</v>
      </c>
      <c r="AC18" s="9">
        <f>Investment!AC25</f>
        <v>67296321.075753301</v>
      </c>
      <c r="AD18" s="9">
        <f>Investment!AD25</f>
        <v>70365619.335696355</v>
      </c>
      <c r="AE18" s="9">
        <f>Investment!AE25</f>
        <v>73562441.251494154</v>
      </c>
      <c r="AF18" s="9">
        <f>Investment!AF25</f>
        <v>76891805.375703275</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105069794.56639293</v>
      </c>
      <c r="D19" s="9">
        <f>D18+C20</f>
        <v>122399648.5353975</v>
      </c>
      <c r="E19" s="9">
        <f>E18+D20</f>
        <v>140296978.53217438</v>
      </c>
      <c r="F19" s="9">
        <f t="shared" ref="F19:AF19" si="28">F18+E20</f>
        <v>158780357.25203672</v>
      </c>
      <c r="G19" s="9">
        <f t="shared" si="28"/>
        <v>177868964.94734532</v>
      </c>
      <c r="H19" s="9">
        <f t="shared" si="28"/>
        <v>197582609.29271957</v>
      </c>
      <c r="I19" s="9">
        <f t="shared" si="28"/>
        <v>217941745.89948368</v>
      </c>
      <c r="J19" s="9">
        <f t="shared" si="28"/>
        <v>238967499.50055698</v>
      </c>
      <c r="K19" s="9">
        <f t="shared" si="28"/>
        <v>260681685.82768989</v>
      </c>
      <c r="L19" s="9">
        <f t="shared" si="28"/>
        <v>283106834.20366275</v>
      </c>
      <c r="M19" s="9">
        <f t="shared" si="28"/>
        <v>306266210.87280232</v>
      </c>
      <c r="N19" s="9">
        <f t="shared" si="28"/>
        <v>330183843.09393424</v>
      </c>
      <c r="O19" s="9">
        <f t="shared" si="28"/>
        <v>354884544.02067685</v>
      </c>
      <c r="P19" s="9">
        <f t="shared" si="28"/>
        <v>380393938.39479488</v>
      </c>
      <c r="Q19" s="9">
        <f t="shared" si="28"/>
        <v>406738489.07917124</v>
      </c>
      <c r="R19" s="9">
        <f t="shared" si="28"/>
        <v>433945524.4578234</v>
      </c>
      <c r="S19" s="9">
        <f t="shared" si="28"/>
        <v>462043266.7312842</v>
      </c>
      <c r="T19" s="9">
        <f t="shared" si="28"/>
        <v>491060861.13659376</v>
      </c>
      <c r="U19" s="9">
        <f t="shared" si="28"/>
        <v>521028406.1221022</v>
      </c>
      <c r="V19" s="9">
        <f t="shared" si="28"/>
        <v>551976984.50827134</v>
      </c>
      <c r="W19" s="9">
        <f t="shared" si="28"/>
        <v>583938695.66667819</v>
      </c>
      <c r="X19" s="9">
        <f t="shared" si="28"/>
        <v>616946688.75047863</v>
      </c>
      <c r="Y19" s="9">
        <f t="shared" si="28"/>
        <v>651035197.01067173</v>
      </c>
      <c r="Z19" s="9">
        <f t="shared" si="28"/>
        <v>686239573.23362875</v>
      </c>
      <c r="AA19" s="9">
        <f t="shared" si="28"/>
        <v>722596326.33650804</v>
      </c>
      <c r="AB19" s="9">
        <f t="shared" si="28"/>
        <v>760143159.1583724</v>
      </c>
      <c r="AC19" s="9">
        <f t="shared" si="28"/>
        <v>798919007.48605943</v>
      </c>
      <c r="AD19" s="9">
        <f t="shared" si="28"/>
        <v>838964080.35513222</v>
      </c>
      <c r="AE19" s="9">
        <f t="shared" si="28"/>
        <v>880319901.66755199</v>
      </c>
      <c r="AF19" s="9">
        <f t="shared" si="28"/>
        <v>923029353.16907501</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101874389.87499999</v>
      </c>
      <c r="D20" s="9">
        <f>D19-D8-D9</f>
        <v>118698218.99499999</v>
      </c>
      <c r="E20" s="9">
        <f t="shared" ref="E20:AF20" si="29">E19-E8-E9</f>
        <v>136060410.64683998</v>
      </c>
      <c r="F20" s="9">
        <f t="shared" si="29"/>
        <v>153978192.43153885</v>
      </c>
      <c r="G20" s="9">
        <f t="shared" si="29"/>
        <v>172469343.2333481</v>
      </c>
      <c r="H20" s="9">
        <f t="shared" si="29"/>
        <v>191552210.86081523</v>
      </c>
      <c r="I20" s="9">
        <f t="shared" si="29"/>
        <v>211245730.2523613</v>
      </c>
      <c r="J20" s="9">
        <f t="shared" si="29"/>
        <v>231569442.26443687</v>
      </c>
      <c r="K20" s="9">
        <f t="shared" si="29"/>
        <v>252543513.06089884</v>
      </c>
      <c r="L20" s="9">
        <f t="shared" si="29"/>
        <v>274188754.12284762</v>
      </c>
      <c r="M20" s="9">
        <f t="shared" si="29"/>
        <v>296526642.89877874</v>
      </c>
      <c r="N20" s="9">
        <f t="shared" si="29"/>
        <v>319579344.11553967</v>
      </c>
      <c r="O20" s="9">
        <f t="shared" si="29"/>
        <v>343369731.77123696</v>
      </c>
      <c r="P20" s="9">
        <f t="shared" si="29"/>
        <v>367921411.83191657</v>
      </c>
      <c r="Q20" s="9">
        <f t="shared" si="29"/>
        <v>393258745.65453792</v>
      </c>
      <c r="R20" s="9">
        <f t="shared" si="29"/>
        <v>419406874.15948308</v>
      </c>
      <c r="S20" s="9">
        <f t="shared" si="29"/>
        <v>446391742.77658659</v>
      </c>
      <c r="T20" s="9">
        <f t="shared" si="29"/>
        <v>474240127.18943733</v>
      </c>
      <c r="U20" s="9">
        <f t="shared" si="29"/>
        <v>502979659.90349931</v>
      </c>
      <c r="V20" s="9">
        <f t="shared" si="29"/>
        <v>532638857.66441119</v>
      </c>
      <c r="W20" s="9">
        <f t="shared" si="29"/>
        <v>563247149.75367224</v>
      </c>
      <c r="X20" s="9">
        <f t="shared" si="29"/>
        <v>594834907.18978977</v>
      </c>
      <c r="Y20" s="9">
        <f t="shared" si="29"/>
        <v>627433472.86386311</v>
      </c>
      <c r="Z20" s="9">
        <f t="shared" si="29"/>
        <v>661075192.6395067</v>
      </c>
      <c r="AA20" s="9">
        <f t="shared" si="29"/>
        <v>695793447.44797099</v>
      </c>
      <c r="AB20" s="9">
        <f t="shared" si="29"/>
        <v>731622686.4103061</v>
      </c>
      <c r="AC20" s="9">
        <f t="shared" si="29"/>
        <v>768598461.01943588</v>
      </c>
      <c r="AD20" s="9">
        <f t="shared" si="29"/>
        <v>806757460.41605783</v>
      </c>
      <c r="AE20" s="9">
        <f t="shared" si="29"/>
        <v>846137547.79337168</v>
      </c>
      <c r="AF20" s="9">
        <f t="shared" si="29"/>
        <v>886777797.96675956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19017711.02</v>
      </c>
      <c r="D22" s="9">
        <f ca="1">'Balance Sheet'!C11</f>
        <v>35375633.457384214</v>
      </c>
      <c r="E22" s="9">
        <f ca="1">'Balance Sheet'!D11</f>
        <v>48293987.48992382</v>
      </c>
      <c r="F22" s="9">
        <f ca="1">'Balance Sheet'!E11</f>
        <v>58548297.644741096</v>
      </c>
      <c r="G22" s="9">
        <f ca="1">'Balance Sheet'!F11</f>
        <v>66721905.440627553</v>
      </c>
      <c r="H22" s="9">
        <f ca="1">'Balance Sheet'!G11</f>
        <v>73850702.761372656</v>
      </c>
      <c r="I22" s="9">
        <f ca="1">'Balance Sheet'!H11</f>
        <v>80089936.233036891</v>
      </c>
      <c r="J22" s="9">
        <f ca="1">'Balance Sheet'!I11</f>
        <v>86375952.76196222</v>
      </c>
      <c r="K22" s="9">
        <f ca="1">'Balance Sheet'!J11</f>
        <v>92625594.895931154</v>
      </c>
      <c r="L22" s="9">
        <f ca="1">'Balance Sheet'!K11</f>
        <v>98742818.303342581</v>
      </c>
      <c r="M22" s="9">
        <f ca="1">'Balance Sheet'!L11</f>
        <v>105007433.50519441</v>
      </c>
      <c r="N22" s="9">
        <f ca="1">'Balance Sheet'!M11</f>
        <v>111362627.31372184</v>
      </c>
      <c r="O22" s="9">
        <f ca="1">'Balance Sheet'!N11</f>
        <v>117742616.18553597</v>
      </c>
      <c r="P22" s="9">
        <f ca="1">'Balance Sheet'!O11</f>
        <v>124307666.78768781</v>
      </c>
      <c r="Q22" s="9">
        <f ca="1">'Balance Sheet'!P11</f>
        <v>131259710.74714293</v>
      </c>
      <c r="R22" s="9">
        <f ca="1">'Balance Sheet'!Q11</f>
        <v>138580859.26777047</v>
      </c>
      <c r="S22" s="9">
        <f ca="1">'Balance Sheet'!R11</f>
        <v>146248695.20866483</v>
      </c>
      <c r="T22" s="9">
        <f ca="1">'Balance Sheet'!S11</f>
        <v>154235808.37890321</v>
      </c>
      <c r="U22" s="9">
        <f ca="1">'Balance Sheet'!T11</f>
        <v>162509294.15794021</v>
      </c>
      <c r="V22" s="9">
        <f ca="1">'Balance Sheet'!U11</f>
        <v>171030212.90007442</v>
      </c>
      <c r="W22" s="9">
        <f ca="1">'Balance Sheet'!V11</f>
        <v>179753007.41815582</v>
      </c>
      <c r="X22" s="9">
        <f ca="1">'Balance Sheet'!W11</f>
        <v>188989531.4254171</v>
      </c>
      <c r="Y22" s="9">
        <f ca="1">'Balance Sheet'!X11</f>
        <v>198730779.0646261</v>
      </c>
      <c r="Z22" s="9">
        <f ca="1">'Balance Sheet'!Y11</f>
        <v>208964023.28508711</v>
      </c>
      <c r="AA22" s="9">
        <f ca="1">'Balance Sheet'!Z11</f>
        <v>219672428.51158947</v>
      </c>
      <c r="AB22" s="9">
        <f ca="1">'Balance Sheet'!AA11</f>
        <v>230834633.53228134</v>
      </c>
      <c r="AC22" s="9">
        <f ca="1">'Balance Sheet'!AB11</f>
        <v>242424302.62495428</v>
      </c>
      <c r="AD22" s="9">
        <f ca="1">'Balance Sheet'!AC11</f>
        <v>254409642.8202607</v>
      </c>
      <c r="AE22" s="9">
        <f ca="1">'Balance Sheet'!AD11</f>
        <v>266752885.07242757</v>
      </c>
      <c r="AF22" s="9">
        <f ca="1">'Balance Sheet'!AE11</f>
        <v>279949473.4582752</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82856678.854999989</v>
      </c>
      <c r="D23" s="9">
        <f t="shared" ref="D23:AF23" ca="1" si="30">D20-D22</f>
        <v>83322585.537615776</v>
      </c>
      <c r="E23" s="9">
        <f t="shared" ca="1" si="30"/>
        <v>87766423.156916156</v>
      </c>
      <c r="F23" s="9">
        <f t="shared" ca="1" si="30"/>
        <v>95429894.786797762</v>
      </c>
      <c r="G23" s="9">
        <f t="shared" ca="1" si="30"/>
        <v>105747437.79272056</v>
      </c>
      <c r="H23" s="9">
        <f t="shared" ca="1" si="30"/>
        <v>117701508.09944257</v>
      </c>
      <c r="I23" s="9">
        <f t="shared" ca="1" si="30"/>
        <v>131155794.01932441</v>
      </c>
      <c r="J23" s="9">
        <f ca="1">J20-J22</f>
        <v>145193489.50247467</v>
      </c>
      <c r="K23" s="9">
        <f t="shared" ca="1" si="30"/>
        <v>159917918.16496769</v>
      </c>
      <c r="L23" s="9">
        <f t="shared" ca="1" si="30"/>
        <v>175445935.81950504</v>
      </c>
      <c r="M23" s="9">
        <f t="shared" ca="1" si="30"/>
        <v>191519209.39358431</v>
      </c>
      <c r="N23" s="9">
        <f t="shared" ca="1" si="30"/>
        <v>208216716.80181783</v>
      </c>
      <c r="O23" s="9">
        <f t="shared" ca="1" si="30"/>
        <v>225627115.58570099</v>
      </c>
      <c r="P23" s="9">
        <f t="shared" ca="1" si="30"/>
        <v>243613745.04422876</v>
      </c>
      <c r="Q23" s="9">
        <f t="shared" ca="1" si="30"/>
        <v>261999034.90739501</v>
      </c>
      <c r="R23" s="9">
        <f t="shared" ca="1" si="30"/>
        <v>280826014.89171261</v>
      </c>
      <c r="S23" s="9">
        <f t="shared" ca="1" si="30"/>
        <v>300143047.56792176</v>
      </c>
      <c r="T23" s="9">
        <f t="shared" ca="1" si="30"/>
        <v>320004318.81053412</v>
      </c>
      <c r="U23" s="9">
        <f t="shared" ca="1" si="30"/>
        <v>340470365.7455591</v>
      </c>
      <c r="V23" s="9">
        <f t="shared" ca="1" si="30"/>
        <v>361608644.76433676</v>
      </c>
      <c r="W23" s="9">
        <f t="shared" ca="1" si="30"/>
        <v>383494142.33551645</v>
      </c>
      <c r="X23" s="9">
        <f t="shared" ca="1" si="30"/>
        <v>405845375.76437271</v>
      </c>
      <c r="Y23" s="9">
        <f t="shared" ca="1" si="30"/>
        <v>428702693.79923701</v>
      </c>
      <c r="Z23" s="9">
        <f t="shared" ca="1" si="30"/>
        <v>452111169.35441959</v>
      </c>
      <c r="AA23" s="9">
        <f t="shared" ca="1" si="30"/>
        <v>476121018.93638152</v>
      </c>
      <c r="AB23" s="9">
        <f t="shared" ca="1" si="30"/>
        <v>500788052.87802476</v>
      </c>
      <c r="AC23" s="9">
        <f t="shared" ca="1" si="30"/>
        <v>526174158.3944816</v>
      </c>
      <c r="AD23" s="9">
        <f t="shared" ca="1" si="30"/>
        <v>552347817.59579706</v>
      </c>
      <c r="AE23" s="9">
        <f t="shared" ca="1" si="30"/>
        <v>579384662.72094417</v>
      </c>
      <c r="AF23" s="9">
        <f t="shared" ca="1" si="30"/>
        <v>606828324.50848436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167</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19017711.02</v>
      </c>
      <c r="D5" s="1">
        <f ca="1">C5+C6</f>
        <v>35375633.457384214</v>
      </c>
      <c r="E5" s="1">
        <f t="shared" ref="E5:AF5" ca="1" si="1">D5+D6</f>
        <v>48293987.48992382</v>
      </c>
      <c r="F5" s="1">
        <f t="shared" ca="1" si="1"/>
        <v>58548297.644741096</v>
      </c>
      <c r="G5" s="1">
        <f t="shared" ca="1" si="1"/>
        <v>66721905.440627553</v>
      </c>
      <c r="H5" s="1">
        <f t="shared" ca="1" si="1"/>
        <v>73850702.761372656</v>
      </c>
      <c r="I5" s="1">
        <f t="shared" ca="1" si="1"/>
        <v>80089936.233036891</v>
      </c>
      <c r="J5" s="1">
        <f t="shared" ca="1" si="1"/>
        <v>86375952.76196222</v>
      </c>
      <c r="K5" s="1">
        <f t="shared" ca="1" si="1"/>
        <v>92625594.895931154</v>
      </c>
      <c r="L5" s="1">
        <f t="shared" ca="1" si="1"/>
        <v>98742818.303342581</v>
      </c>
      <c r="M5" s="1">
        <f t="shared" ca="1" si="1"/>
        <v>105007433.50519441</v>
      </c>
      <c r="N5" s="1">
        <f t="shared" ca="1" si="1"/>
        <v>111362627.31372184</v>
      </c>
      <c r="O5" s="1">
        <f t="shared" ca="1" si="1"/>
        <v>117742616.18553597</v>
      </c>
      <c r="P5" s="1">
        <f t="shared" ca="1" si="1"/>
        <v>124307666.78768781</v>
      </c>
      <c r="Q5" s="1">
        <f t="shared" ca="1" si="1"/>
        <v>131259710.74714293</v>
      </c>
      <c r="R5" s="1">
        <f t="shared" ca="1" si="1"/>
        <v>138580859.26777047</v>
      </c>
      <c r="S5" s="1">
        <f t="shared" ca="1" si="1"/>
        <v>146248695.20866483</v>
      </c>
      <c r="T5" s="1">
        <f t="shared" ca="1" si="1"/>
        <v>154235808.37890321</v>
      </c>
      <c r="U5" s="1">
        <f t="shared" ca="1" si="1"/>
        <v>162509294.15794021</v>
      </c>
      <c r="V5" s="1">
        <f t="shared" ca="1" si="1"/>
        <v>171030212.90007442</v>
      </c>
      <c r="W5" s="1">
        <f t="shared" ca="1" si="1"/>
        <v>179753007.41815582</v>
      </c>
      <c r="X5" s="1">
        <f t="shared" ca="1" si="1"/>
        <v>188989531.4254171</v>
      </c>
      <c r="Y5" s="1">
        <f t="shared" ca="1" si="1"/>
        <v>198730779.0646261</v>
      </c>
      <c r="Z5" s="1">
        <f t="shared" ca="1" si="1"/>
        <v>208964023.28508711</v>
      </c>
      <c r="AA5" s="1">
        <f t="shared" ca="1" si="1"/>
        <v>219672428.51158947</v>
      </c>
      <c r="AB5" s="1">
        <f t="shared" ca="1" si="1"/>
        <v>230834633.53228134</v>
      </c>
      <c r="AC5" s="1">
        <f t="shared" ca="1" si="1"/>
        <v>242424302.62495428</v>
      </c>
      <c r="AD5" s="1">
        <f t="shared" ca="1" si="1"/>
        <v>254409642.8202607</v>
      </c>
      <c r="AE5" s="1">
        <f t="shared" ca="1" si="1"/>
        <v>266752885.07242757</v>
      </c>
      <c r="AF5" s="1">
        <f t="shared" ca="1" si="1"/>
        <v>279949473.4582752</v>
      </c>
      <c r="AG5" s="1"/>
      <c r="AH5" s="1"/>
      <c r="AI5" s="1"/>
      <c r="AJ5" s="1"/>
      <c r="AK5" s="1"/>
      <c r="AL5" s="1"/>
      <c r="AM5" s="1"/>
      <c r="AN5" s="1"/>
      <c r="AO5" s="1"/>
      <c r="AP5" s="1"/>
    </row>
    <row r="6" spans="1:42" x14ac:dyDescent="0.35">
      <c r="A6" s="63" t="s">
        <v>3</v>
      </c>
      <c r="C6" s="1">
        <f ca="1">-'Cash Flow'!C13</f>
        <v>16357922.437384214</v>
      </c>
      <c r="D6" s="1">
        <f ca="1">-'Cash Flow'!D13</f>
        <v>12918354.032539602</v>
      </c>
      <c r="E6" s="1">
        <f ca="1">-'Cash Flow'!E13</f>
        <v>10254310.154817276</v>
      </c>
      <c r="F6" s="1">
        <f ca="1">-'Cash Flow'!F13</f>
        <v>8173607.795886457</v>
      </c>
      <c r="G6" s="1">
        <f ca="1">-'Cash Flow'!G13</f>
        <v>7128797.3207451086</v>
      </c>
      <c r="H6" s="1">
        <f ca="1">-'Cash Flow'!H13</f>
        <v>6239233.4716642387</v>
      </c>
      <c r="I6" s="1">
        <f ca="1">-'Cash Flow'!I13</f>
        <v>6286016.5289253294</v>
      </c>
      <c r="J6" s="1">
        <f ca="1">-'Cash Flow'!J13</f>
        <v>6249642.1339689419</v>
      </c>
      <c r="K6" s="1">
        <f ca="1">-'Cash Flow'!K13</f>
        <v>6117223.4074114189</v>
      </c>
      <c r="L6" s="1">
        <f ca="1">-'Cash Flow'!L13</f>
        <v>6264615.2018518299</v>
      </c>
      <c r="M6" s="1">
        <f ca="1">-'Cash Flow'!M13</f>
        <v>6355193.8085274212</v>
      </c>
      <c r="N6" s="1">
        <f ca="1">-'Cash Flow'!N13</f>
        <v>6379988.8718141243</v>
      </c>
      <c r="O6" s="1">
        <f ca="1">-'Cash Flow'!O13</f>
        <v>6565050.6021518409</v>
      </c>
      <c r="P6" s="1">
        <f ca="1">-'Cash Flow'!P13</f>
        <v>6952043.9594551176</v>
      </c>
      <c r="Q6" s="1">
        <f ca="1">-'Cash Flow'!Q13</f>
        <v>7321148.5206275545</v>
      </c>
      <c r="R6" s="1">
        <f ca="1">-'Cash Flow'!R13</f>
        <v>7667835.9408943728</v>
      </c>
      <c r="S6" s="1">
        <f ca="1">-'Cash Flow'!S13</f>
        <v>7987113.1702383757</v>
      </c>
      <c r="T6" s="1">
        <f ca="1">-'Cash Flow'!T13</f>
        <v>8273485.7790370062</v>
      </c>
      <c r="U6" s="1">
        <f ca="1">-'Cash Flow'!U13</f>
        <v>8520918.7421342209</v>
      </c>
      <c r="V6" s="1">
        <f ca="1">-'Cash Flow'!V13</f>
        <v>8722794.5180813968</v>
      </c>
      <c r="W6" s="1">
        <f ca="1">-'Cash Flow'!W13</f>
        <v>9236524.0072612837</v>
      </c>
      <c r="X6" s="1">
        <f ca="1">-'Cash Flow'!X13</f>
        <v>9741247.6392089948</v>
      </c>
      <c r="Y6" s="1">
        <f ca="1">-'Cash Flow'!Y13</f>
        <v>10233244.220460996</v>
      </c>
      <c r="Z6" s="1">
        <f ca="1">-'Cash Flow'!Z13</f>
        <v>10708405.226502374</v>
      </c>
      <c r="AA6" s="1">
        <f ca="1">-'Cash Flow'!AA13</f>
        <v>11162205.020691864</v>
      </c>
      <c r="AB6" s="1">
        <f ca="1">-'Cash Flow'!AB13</f>
        <v>11589669.092672937</v>
      </c>
      <c r="AC6" s="1">
        <f ca="1">-'Cash Flow'!AC13</f>
        <v>11985340.195306435</v>
      </c>
      <c r="AD6" s="1">
        <f ca="1">-'Cash Flow'!AD13</f>
        <v>12343242.252166882</v>
      </c>
      <c r="AE6" s="1">
        <f ca="1">-'Cash Flow'!AE13</f>
        <v>13196588.385847628</v>
      </c>
      <c r="AF6" s="1">
        <f ca="1">-'Cash Flow'!AF13</f>
        <v>14069571.499413952</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1238147.1710084477</v>
      </c>
      <c r="D8" s="1">
        <f ca="1">IF(SUM(D5:D6)&gt;0,Assumptions!$C$26*SUM(D5:D6),Assumptions!$C$27*(SUM(D5:D6)))</f>
        <v>1690289.5621473338</v>
      </c>
      <c r="E8" s="1">
        <f ca="1">IF(SUM(E5:E6)&gt;0,Assumptions!$C$26*SUM(E5:E6),Assumptions!$C$27*(SUM(E5:E6)))</f>
        <v>2049190.4175659386</v>
      </c>
      <c r="F8" s="1">
        <f ca="1">IF(SUM(F5:F6)&gt;0,Assumptions!$C$26*SUM(F5:F6),Assumptions!$C$27*(SUM(F5:F6)))</f>
        <v>2335266.6904219645</v>
      </c>
      <c r="G8" s="1">
        <f ca="1">IF(SUM(G5:G6)&gt;0,Assumptions!$C$26*SUM(G5:G6),Assumptions!$C$27*(SUM(G5:G6)))</f>
        <v>2584774.596648043</v>
      </c>
      <c r="H8" s="1">
        <f ca="1">IF(SUM(H5:H6)&gt;0,Assumptions!$C$26*SUM(H5:H6),Assumptions!$C$27*(SUM(H5:H6)))</f>
        <v>2803147.7681562915</v>
      </c>
      <c r="I8" s="1">
        <f ca="1">IF(SUM(I5:I6)&gt;0,Assumptions!$C$26*SUM(I5:I6),Assumptions!$C$27*(SUM(I5:I6)))</f>
        <v>3023158.3466686779</v>
      </c>
      <c r="J8" s="1">
        <f ca="1">IF(SUM(J5:J6)&gt;0,Assumptions!$C$26*SUM(J5:J6),Assumptions!$C$27*(SUM(J5:J6)))</f>
        <v>3241895.8213575906</v>
      </c>
      <c r="K8" s="1">
        <f ca="1">IF(SUM(K5:K6)&gt;0,Assumptions!$C$26*SUM(K5:K6),Assumptions!$C$27*(SUM(K5:K6)))</f>
        <v>3455998.6406169906</v>
      </c>
      <c r="L8" s="1">
        <f ca="1">IF(SUM(L5:L6)&gt;0,Assumptions!$C$26*SUM(L5:L6),Assumptions!$C$27*(SUM(L5:L6)))</f>
        <v>3675260.1726818047</v>
      </c>
      <c r="M8" s="1">
        <f ca="1">IF(SUM(M5:M6)&gt;0,Assumptions!$C$26*SUM(M5:M6),Assumptions!$C$27*(SUM(M5:M6)))</f>
        <v>3897691.9559802646</v>
      </c>
      <c r="N8" s="1">
        <f ca="1">IF(SUM(N5:N6)&gt;0,Assumptions!$C$26*SUM(N5:N6),Assumptions!$C$27*(SUM(N5:N6)))</f>
        <v>4120991.5664937594</v>
      </c>
      <c r="O8" s="1">
        <f ca="1">IF(SUM(O5:O6)&gt;0,Assumptions!$C$26*SUM(O5:O6),Assumptions!$C$27*(SUM(O5:O6)))</f>
        <v>4350768.3375690738</v>
      </c>
      <c r="P8" s="1">
        <f ca="1">IF(SUM(P5:P6)&gt;0,Assumptions!$C$26*SUM(P5:P6),Assumptions!$C$27*(SUM(P5:P6)))</f>
        <v>4594089.8761500027</v>
      </c>
      <c r="Q8" s="1">
        <f ca="1">IF(SUM(Q5:Q6)&gt;0,Assumptions!$C$26*SUM(Q5:Q6),Assumptions!$C$27*(SUM(Q5:Q6)))</f>
        <v>4850330.0743719665</v>
      </c>
      <c r="R8" s="1">
        <f ca="1">IF(SUM(R5:R6)&gt;0,Assumptions!$C$26*SUM(R5:R6),Assumptions!$C$27*(SUM(R5:R6)))</f>
        <v>5118704.3323032698</v>
      </c>
      <c r="S8" s="1">
        <f ca="1">IF(SUM(S5:S6)&gt;0,Assumptions!$C$26*SUM(S5:S6),Assumptions!$C$27*(SUM(S5:S6)))</f>
        <v>5398253.2932616128</v>
      </c>
      <c r="T8" s="1">
        <f ca="1">IF(SUM(T5:T6)&gt;0,Assumptions!$C$26*SUM(T5:T6),Assumptions!$C$27*(SUM(T5:T6)))</f>
        <v>5687825.295527908</v>
      </c>
      <c r="U8" s="1">
        <f ca="1">IF(SUM(U5:U6)&gt;0,Assumptions!$C$26*SUM(U5:U6),Assumptions!$C$27*(SUM(U5:U6)))</f>
        <v>5986057.4515026053</v>
      </c>
      <c r="V8" s="1">
        <f ca="1">IF(SUM(V5:V6)&gt;0,Assumptions!$C$26*SUM(V5:V6),Assumptions!$C$27*(SUM(V5:V6)))</f>
        <v>6291355.259635454</v>
      </c>
      <c r="W8" s="1">
        <f ca="1">IF(SUM(W5:W6)&gt;0,Assumptions!$C$26*SUM(W5:W6),Assumptions!$C$27*(SUM(W5:W6)))</f>
        <v>6614633.5998895988</v>
      </c>
      <c r="X8" s="1">
        <f ca="1">IF(SUM(X5:X6)&gt;0,Assumptions!$C$26*SUM(X5:X6),Assumptions!$C$27*(SUM(X5:X6)))</f>
        <v>6955577.267261914</v>
      </c>
      <c r="Y8" s="1">
        <f ca="1">IF(SUM(Y5:Y6)&gt;0,Assumptions!$C$26*SUM(Y5:Y6),Assumptions!$C$27*(SUM(Y5:Y6)))</f>
        <v>7313740.8149780491</v>
      </c>
      <c r="Z8" s="1">
        <f ca="1">IF(SUM(Z5:Z6)&gt;0,Assumptions!$C$26*SUM(Z5:Z6),Assumptions!$C$27*(SUM(Z5:Z6)))</f>
        <v>7688534.9979056325</v>
      </c>
      <c r="AA8" s="1">
        <f ca="1">IF(SUM(AA5:AA6)&gt;0,Assumptions!$C$26*SUM(AA5:AA6),Assumptions!$C$27*(SUM(AA5:AA6)))</f>
        <v>8079212.1736298474</v>
      </c>
      <c r="AB8" s="1">
        <f ca="1">IF(SUM(AB5:AB6)&gt;0,Assumptions!$C$26*SUM(AB5:AB6),Assumptions!$C$27*(SUM(AB5:AB6)))</f>
        <v>8484850.5918733999</v>
      </c>
      <c r="AC8" s="1">
        <f ca="1">IF(SUM(AC5:AC6)&gt;0,Assumptions!$C$26*SUM(AC5:AC6),Assumptions!$C$27*(SUM(AC5:AC6)))</f>
        <v>8904337.4987091254</v>
      </c>
      <c r="AD8" s="1">
        <f ca="1">IF(SUM(AD5:AD6)&gt;0,Assumptions!$C$26*SUM(AD5:AD6),Assumptions!$C$27*(SUM(AD5:AD6)))</f>
        <v>9336350.9775349665</v>
      </c>
      <c r="AE8" s="1">
        <f ca="1">IF(SUM(AE5:AE6)&gt;0,Assumptions!$C$26*SUM(AE5:AE6),Assumptions!$C$27*(SUM(AE5:AE6)))</f>
        <v>9798231.5710396338</v>
      </c>
      <c r="AF8" s="1">
        <f ca="1">IF(SUM(AF5:AF6)&gt;0,Assumptions!$C$26*SUM(AF5:AF6),Assumptions!$C$27*(SUM(AF5:AF6)))</f>
        <v>10290666.573519122</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3"/>
  <sheetViews>
    <sheetView zoomScale="50" zoomScaleNormal="50" workbookViewId="0">
      <selection sqref="A1:XFD1048576"/>
    </sheetView>
  </sheetViews>
  <sheetFormatPr defaultRowHeight="15.5" x14ac:dyDescent="0.35"/>
  <cols>
    <col min="1" max="1" width="107.9140625" style="63" customWidth="1"/>
    <col min="2" max="2" width="18.1640625" style="63" bestFit="1" customWidth="1"/>
    <col min="3" max="3" width="38.5" style="63" customWidth="1"/>
    <col min="4" max="16384" width="8.6640625" style="63"/>
  </cols>
  <sheetData>
    <row r="1" spans="1:3" ht="26" x14ac:dyDescent="0.6">
      <c r="A1" s="13" t="s">
        <v>186</v>
      </c>
    </row>
    <row r="2" spans="1:3" ht="26" x14ac:dyDescent="0.6">
      <c r="A2" s="13"/>
    </row>
    <row r="3" spans="1:3" ht="186" x14ac:dyDescent="0.35">
      <c r="A3" s="173" t="s">
        <v>189</v>
      </c>
    </row>
    <row r="4" spans="1:3" ht="26" x14ac:dyDescent="0.6">
      <c r="A4" s="13"/>
    </row>
    <row r="5" spans="1:3" ht="18.5" x14ac:dyDescent="0.45">
      <c r="A5" s="89" t="s">
        <v>178</v>
      </c>
      <c r="B5" s="181"/>
    </row>
    <row r="6" spans="1:3" ht="18.5" x14ac:dyDescent="0.45">
      <c r="A6" s="90"/>
      <c r="B6" s="181"/>
    </row>
    <row r="7" spans="1:3" ht="18.5" x14ac:dyDescent="0.45">
      <c r="A7" s="90" t="s">
        <v>96</v>
      </c>
      <c r="B7" s="182">
        <f>Assumptions!C24</f>
        <v>5341093.4700000007</v>
      </c>
      <c r="C7" s="180" t="s">
        <v>137</v>
      </c>
    </row>
    <row r="8" spans="1:3" ht="34" x14ac:dyDescent="0.45">
      <c r="A8" s="90" t="s">
        <v>175</v>
      </c>
      <c r="B8" s="183">
        <f>Assumptions!$C$133</f>
        <v>0.7</v>
      </c>
      <c r="C8" s="180" t="s">
        <v>199</v>
      </c>
    </row>
    <row r="9" spans="1:3" ht="18.5" x14ac:dyDescent="0.45">
      <c r="A9" s="90"/>
      <c r="B9" s="184"/>
      <c r="C9" s="180"/>
    </row>
    <row r="10" spans="1:3" ht="102" x14ac:dyDescent="0.45">
      <c r="A10" s="94" t="s">
        <v>102</v>
      </c>
      <c r="B10" s="185">
        <f>Assumptions!C135</f>
        <v>2507.4074074074074</v>
      </c>
      <c r="C10" s="180" t="s">
        <v>200</v>
      </c>
    </row>
    <row r="11" spans="1:3" ht="18.5" x14ac:dyDescent="0.45">
      <c r="A11" s="94"/>
      <c r="B11" s="186"/>
      <c r="C11" s="180"/>
    </row>
    <row r="12" spans="1:3" ht="18.5" x14ac:dyDescent="0.45">
      <c r="A12" s="94" t="s">
        <v>185</v>
      </c>
      <c r="B12" s="182">
        <f>(B7*B8)/B10</f>
        <v>1491.0881326883309</v>
      </c>
      <c r="C12" s="180"/>
    </row>
    <row r="13" spans="1:3" ht="18.5" x14ac:dyDescent="0.45">
      <c r="A13" s="96"/>
      <c r="B13" s="187"/>
      <c r="C13" s="180"/>
    </row>
    <row r="14" spans="1:3" ht="18.5" x14ac:dyDescent="0.45">
      <c r="A14" s="94" t="s">
        <v>103</v>
      </c>
      <c r="B14" s="103">
        <v>1</v>
      </c>
      <c r="C14" s="180"/>
    </row>
    <row r="15" spans="1:3" ht="18.5" x14ac:dyDescent="0.45">
      <c r="A15" s="96"/>
      <c r="B15" s="99"/>
      <c r="C15" s="180"/>
    </row>
    <row r="16" spans="1:3" ht="18.5" x14ac:dyDescent="0.45">
      <c r="A16" s="96" t="s">
        <v>180</v>
      </c>
      <c r="B16" s="188">
        <f>B12/B14</f>
        <v>1491.0881326883309</v>
      </c>
      <c r="C16" s="180"/>
    </row>
    <row r="17" spans="1:3" ht="18.5" x14ac:dyDescent="0.45">
      <c r="A17" s="94"/>
      <c r="B17" s="189"/>
      <c r="C17" s="180"/>
    </row>
    <row r="18" spans="1:3" ht="18.5" x14ac:dyDescent="0.45">
      <c r="A18" s="102" t="s">
        <v>179</v>
      </c>
      <c r="B18" s="189"/>
      <c r="C18" s="180"/>
    </row>
    <row r="19" spans="1:3" ht="18.5" x14ac:dyDescent="0.45">
      <c r="A19" s="94"/>
      <c r="B19" s="189"/>
      <c r="C19" s="180"/>
    </row>
    <row r="20" spans="1:3" ht="51" x14ac:dyDescent="0.45">
      <c r="A20" s="94" t="s">
        <v>65</v>
      </c>
      <c r="B20" s="182">
        <f>'Profit and Loss'!L5</f>
        <v>39526120.261941448</v>
      </c>
      <c r="C20" s="180" t="s">
        <v>201</v>
      </c>
    </row>
    <row r="21" spans="1:3" ht="34" x14ac:dyDescent="0.45">
      <c r="A21" s="94" t="str">
        <f>A8</f>
        <v>Assumed revenue from households</v>
      </c>
      <c r="B21" s="183">
        <f>B8</f>
        <v>0.7</v>
      </c>
      <c r="C21" s="180" t="s">
        <v>199</v>
      </c>
    </row>
    <row r="22" spans="1:3" ht="18.5" x14ac:dyDescent="0.45">
      <c r="A22" s="94"/>
      <c r="B22" s="186"/>
      <c r="C22" s="180"/>
    </row>
    <row r="23" spans="1:3" ht="34" x14ac:dyDescent="0.45">
      <c r="A23" s="94" t="s">
        <v>101</v>
      </c>
      <c r="B23" s="185">
        <f>Assumptions!M135</f>
        <v>2902.0496791201317</v>
      </c>
      <c r="C23" s="180" t="s">
        <v>202</v>
      </c>
    </row>
    <row r="24" spans="1:3" ht="18.5" x14ac:dyDescent="0.45">
      <c r="A24" s="94"/>
      <c r="B24" s="186"/>
      <c r="C24" s="180"/>
    </row>
    <row r="25" spans="1:3" ht="18.5" x14ac:dyDescent="0.45">
      <c r="A25" s="94" t="s">
        <v>184</v>
      </c>
      <c r="B25" s="182">
        <f>(B20*B21)/B23</f>
        <v>9534.0491179143828</v>
      </c>
      <c r="C25" s="180"/>
    </row>
    <row r="26" spans="1:3" ht="18.5" x14ac:dyDescent="0.45">
      <c r="A26" s="94"/>
      <c r="B26" s="182"/>
      <c r="C26" s="180"/>
    </row>
    <row r="27" spans="1:3" ht="51" x14ac:dyDescent="0.45">
      <c r="A27" s="94" t="s">
        <v>103</v>
      </c>
      <c r="B27" s="103">
        <f>1.022^11</f>
        <v>1.2704566586717592</v>
      </c>
      <c r="C27" s="180" t="s">
        <v>203</v>
      </c>
    </row>
    <row r="28" spans="1:3" ht="18.5" x14ac:dyDescent="0.45">
      <c r="A28" s="96"/>
      <c r="B28" s="187"/>
      <c r="C28" s="180"/>
    </row>
    <row r="29" spans="1:3" ht="18.5" x14ac:dyDescent="0.45">
      <c r="A29" s="96" t="s">
        <v>181</v>
      </c>
      <c r="B29" s="182">
        <f>B25/B27</f>
        <v>7504.426894721516</v>
      </c>
      <c r="C29" s="180"/>
    </row>
    <row r="30" spans="1:3" ht="18.5" x14ac:dyDescent="0.45">
      <c r="A30" s="96"/>
      <c r="B30" s="187"/>
      <c r="C30" s="180"/>
    </row>
    <row r="31" spans="1:3" ht="18.5" x14ac:dyDescent="0.45">
      <c r="A31" s="102" t="s">
        <v>187</v>
      </c>
      <c r="B31" s="190"/>
      <c r="C31" s="180"/>
    </row>
    <row r="32" spans="1:3" ht="18.5" x14ac:dyDescent="0.45">
      <c r="A32" s="94"/>
      <c r="B32" s="182"/>
      <c r="C32" s="180"/>
    </row>
    <row r="33" spans="1:3" ht="51" x14ac:dyDescent="0.45">
      <c r="A33" s="94" t="s">
        <v>66</v>
      </c>
      <c r="B33" s="182">
        <f>'Profit and Loss'!AF5</f>
        <v>112142330.04948148</v>
      </c>
      <c r="C33" s="180" t="s">
        <v>201</v>
      </c>
    </row>
    <row r="34" spans="1:3" ht="34" x14ac:dyDescent="0.45">
      <c r="A34" s="94" t="str">
        <f>A21</f>
        <v>Assumed revenue from households</v>
      </c>
      <c r="B34" s="183">
        <f>B21</f>
        <v>0.7</v>
      </c>
      <c r="C34" s="180" t="s">
        <v>199</v>
      </c>
    </row>
    <row r="35" spans="1:3" ht="18.5" x14ac:dyDescent="0.45">
      <c r="A35" s="94"/>
      <c r="B35" s="186"/>
      <c r="C35" s="180"/>
    </row>
    <row r="36" spans="1:3" ht="34" x14ac:dyDescent="0.45">
      <c r="A36" s="94" t="s">
        <v>100</v>
      </c>
      <c r="B36" s="185">
        <f>Assumptions!AG135</f>
        <v>3887.4491300162931</v>
      </c>
      <c r="C36" s="180" t="s">
        <v>202</v>
      </c>
    </row>
    <row r="37" spans="1:3" ht="18.5" x14ac:dyDescent="0.45">
      <c r="A37" s="94"/>
      <c r="B37" s="186"/>
      <c r="C37" s="180"/>
    </row>
    <row r="38" spans="1:3" ht="18.5" x14ac:dyDescent="0.45">
      <c r="A38" s="94" t="s">
        <v>183</v>
      </c>
      <c r="B38" s="182">
        <f>(B33*B34)/B36</f>
        <v>20193.095371593459</v>
      </c>
      <c r="C38" s="180"/>
    </row>
    <row r="39" spans="1:3" ht="18.5" x14ac:dyDescent="0.45">
      <c r="A39" s="94"/>
      <c r="B39" s="186"/>
      <c r="C39" s="180"/>
    </row>
    <row r="40" spans="1:3" ht="51" x14ac:dyDescent="0.45">
      <c r="A40" s="94" t="s">
        <v>103</v>
      </c>
      <c r="B40" s="103">
        <f>1.022^31</f>
        <v>1.9632597808456462</v>
      </c>
      <c r="C40" s="180" t="s">
        <v>203</v>
      </c>
    </row>
    <row r="41" spans="1:3" ht="18.5" x14ac:dyDescent="0.45">
      <c r="A41" s="96"/>
      <c r="B41" s="187"/>
    </row>
    <row r="42" spans="1:3" ht="18.5" x14ac:dyDescent="0.45">
      <c r="A42" s="96" t="s">
        <v>182</v>
      </c>
      <c r="B42" s="182">
        <f>B38/B40</f>
        <v>10285.493325236648</v>
      </c>
    </row>
    <row r="43" spans="1:3" x14ac:dyDescent="0.35">
      <c r="B43" s="1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162</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197</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139</v>
      </c>
      <c r="C13" s="127">
        <v>1.4724143683338298E-2</v>
      </c>
      <c r="D13" s="128">
        <f t="shared" ref="D13:AG13" si="3">(1+$C$13)^D8</f>
        <v>1.0147241436833383</v>
      </c>
      <c r="E13" s="128">
        <f t="shared" si="3"/>
        <v>1.0296650877738842</v>
      </c>
      <c r="F13" s="128">
        <f t="shared" si="3"/>
        <v>1.044826024471984</v>
      </c>
      <c r="G13" s="128">
        <f t="shared" si="3"/>
        <v>1.0602101929804006</v>
      </c>
      <c r="H13" s="128">
        <f t="shared" si="3"/>
        <v>1.075820880196384</v>
      </c>
      <c r="I13" s="128">
        <f t="shared" si="3"/>
        <v>1.0916614214139309</v>
      </c>
      <c r="J13" s="128">
        <f t="shared" si="3"/>
        <v>1.107735201036387</v>
      </c>
      <c r="K13" s="128">
        <f t="shared" si="3"/>
        <v>1.1240456532995384</v>
      </c>
      <c r="L13" s="128">
        <f t="shared" si="3"/>
        <v>1.1405962630053528</v>
      </c>
      <c r="M13" s="128">
        <f t="shared" si="3"/>
        <v>1.1573905662665223</v>
      </c>
      <c r="N13" s="128">
        <f t="shared" si="3"/>
        <v>1.1744321512619709</v>
      </c>
      <c r="O13" s="128">
        <f t="shared" si="3"/>
        <v>1.1917246590034842</v>
      </c>
      <c r="P13" s="128">
        <f t="shared" si="3"/>
        <v>1.2092717841136289</v>
      </c>
      <c r="Q13" s="128">
        <f t="shared" si="3"/>
        <v>1.2270772756151247</v>
      </c>
      <c r="R13" s="128">
        <f t="shared" si="3"/>
        <v>1.2451449377318411</v>
      </c>
      <c r="S13" s="128">
        <f t="shared" si="3"/>
        <v>1.2634786307015862</v>
      </c>
      <c r="T13" s="128">
        <f t="shared" si="3"/>
        <v>1.2820822716008637</v>
      </c>
      <c r="U13" s="128">
        <f t="shared" si="3"/>
        <v>1.3009598351817757</v>
      </c>
      <c r="V13" s="128">
        <f t="shared" si="3"/>
        <v>1.3201153547212443</v>
      </c>
      <c r="W13" s="128">
        <f t="shared" si="3"/>
        <v>1.339552922882741</v>
      </c>
      <c r="X13" s="128">
        <f t="shared" si="3"/>
        <v>1.3592766925907025</v>
      </c>
      <c r="Y13" s="128">
        <f t="shared" si="3"/>
        <v>1.3792908779178206</v>
      </c>
      <c r="Z13" s="128">
        <f t="shared" si="3"/>
        <v>1.3995997549854005</v>
      </c>
      <c r="AA13" s="128">
        <f t="shared" si="3"/>
        <v>1.4202076628769706</v>
      </c>
      <c r="AB13" s="128">
        <f t="shared" si="3"/>
        <v>1.4411190045653495</v>
      </c>
      <c r="AC13" s="128">
        <f t="shared" si="3"/>
        <v>1.4623382478533589</v>
      </c>
      <c r="AD13" s="128">
        <f t="shared" si="3"/>
        <v>1.483869926328393</v>
      </c>
      <c r="AE13" s="128">
        <f t="shared" si="3"/>
        <v>1.505718640331037</v>
      </c>
      <c r="AF13" s="128">
        <f t="shared" si="3"/>
        <v>1.527889057937952</v>
      </c>
      <c r="AG13" s="128">
        <f t="shared" si="3"/>
        <v>1.5503859159592306</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193</v>
      </c>
      <c r="B15" s="178" t="s">
        <v>194</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171</v>
      </c>
      <c r="C17" s="136">
        <f>AVERAGE(C49:C50)</f>
        <v>171144459.75</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85572229.875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138</v>
      </c>
      <c r="C20" s="137">
        <v>19017711.02</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160</v>
      </c>
      <c r="B22" s="178" t="s">
        <v>194</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137</v>
      </c>
      <c r="C24" s="136">
        <v>5341093.4700000007</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196</v>
      </c>
      <c r="C25" s="136">
        <v>3934677.7600108562</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161</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135</v>
      </c>
      <c r="C49" s="71">
        <v>99111122.000000015</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136</v>
      </c>
      <c r="C50" s="71">
        <v>243177797.5</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172</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172</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292729.0507977446</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1015793.5019889078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654261.27639332623</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797897.68352346204</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2604920.0632602284</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1701408.8733918453</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2717202.3753807531</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142</v>
      </c>
      <c r="B77" s="179" t="s">
        <v>177</v>
      </c>
      <c r="C77" s="87">
        <v>17826584.380526982</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143</v>
      </c>
      <c r="B79" s="69" t="s">
        <v>156</v>
      </c>
      <c r="C79" s="87">
        <v>558355984.32287645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144</v>
      </c>
      <c r="B80" s="69" t="s">
        <v>156</v>
      </c>
      <c r="C80" s="87">
        <v>567498754.80256212</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145</v>
      </c>
      <c r="B82" s="69" t="s">
        <v>86</v>
      </c>
      <c r="C82" s="87">
        <f>C79+$C$77</f>
        <v>576182568.70340347</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146</v>
      </c>
      <c r="B83" s="69" t="s">
        <v>86</v>
      </c>
      <c r="C83" s="87">
        <f>C80+$C$77</f>
        <v>585325339.18308914</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151</v>
      </c>
      <c r="B85" s="69" t="s">
        <v>133</v>
      </c>
      <c r="C85" s="150">
        <v>6770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152</v>
      </c>
      <c r="B86" s="69" t="s">
        <v>134</v>
      </c>
      <c r="C86" s="150">
        <v>6770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6770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147</v>
      </c>
      <c r="B89" s="69" t="s">
        <v>86</v>
      </c>
      <c r="C89" s="150">
        <f>C82/$C$87</f>
        <v>85108.208080266399</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147</v>
      </c>
      <c r="B90" s="69" t="s">
        <v>86</v>
      </c>
      <c r="C90" s="150">
        <f>C83/$C$87</f>
        <v>86458.691164414937</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148</v>
      </c>
      <c r="B92" s="69" t="s">
        <v>155</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149</v>
      </c>
      <c r="B94" s="69" t="s">
        <v>86</v>
      </c>
      <c r="C94" s="87">
        <f>IF(C89&lt;$C$92,C89*$C$87,$C$92*$C$87)</f>
        <v>473900000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150</v>
      </c>
      <c r="B95" s="69" t="s">
        <v>86</v>
      </c>
      <c r="C95" s="87">
        <f>IF(C90&lt;$C$92,C90*$C$87,$C$92*$C$87)</f>
        <v>473900000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154</v>
      </c>
      <c r="B96" s="69" t="s">
        <v>86</v>
      </c>
      <c r="C96" s="87">
        <f>AVERAGE(C94:C95)</f>
        <v>473900000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473900000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15796666.666666666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170</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170</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2717202.3753807531</v>
      </c>
      <c r="E111" s="149">
        <f t="shared" si="9"/>
        <v>2717202.3753807531</v>
      </c>
      <c r="F111" s="149">
        <f t="shared" si="9"/>
        <v>2717202.3753807531</v>
      </c>
      <c r="G111" s="149">
        <f t="shared" si="9"/>
        <v>2717202.3753807531</v>
      </c>
      <c r="H111" s="149">
        <f t="shared" si="9"/>
        <v>2717202.3753807531</v>
      </c>
      <c r="I111" s="149">
        <f t="shared" si="9"/>
        <v>2717202.3753807531</v>
      </c>
      <c r="J111" s="149">
        <f t="shared" si="9"/>
        <v>2717202.3753807531</v>
      </c>
      <c r="K111" s="149">
        <f t="shared" si="9"/>
        <v>2717202.3753807531</v>
      </c>
      <c r="L111" s="149">
        <f t="shared" si="9"/>
        <v>2717202.3753807531</v>
      </c>
      <c r="M111" s="149">
        <f t="shared" si="9"/>
        <v>2717202.3753807531</v>
      </c>
      <c r="N111" s="149">
        <f t="shared" si="9"/>
        <v>2717202.3753807531</v>
      </c>
      <c r="O111" s="149">
        <f t="shared" si="9"/>
        <v>2717202.3753807531</v>
      </c>
      <c r="P111" s="149">
        <f t="shared" si="9"/>
        <v>2717202.3753807531</v>
      </c>
      <c r="Q111" s="149">
        <f t="shared" si="9"/>
        <v>2717202.3753807531</v>
      </c>
      <c r="R111" s="149">
        <f t="shared" si="9"/>
        <v>2717202.3753807531</v>
      </c>
      <c r="S111" s="149">
        <f t="shared" si="9"/>
        <v>2717202.3753807531</v>
      </c>
      <c r="T111" s="149">
        <f t="shared" si="9"/>
        <v>2717202.3753807531</v>
      </c>
      <c r="U111" s="149">
        <f t="shared" si="9"/>
        <v>2717202.3753807531</v>
      </c>
      <c r="V111" s="149">
        <f t="shared" si="9"/>
        <v>2717202.3753807531</v>
      </c>
      <c r="W111" s="149">
        <f t="shared" si="9"/>
        <v>2717202.3753807531</v>
      </c>
      <c r="X111" s="149">
        <f t="shared" si="9"/>
        <v>2717202.3753807531</v>
      </c>
      <c r="Y111" s="149">
        <f t="shared" si="9"/>
        <v>2717202.3753807531</v>
      </c>
      <c r="Z111" s="149">
        <f t="shared" si="9"/>
        <v>2717202.3753807531</v>
      </c>
      <c r="AA111" s="149">
        <f t="shared" si="9"/>
        <v>2717202.3753807531</v>
      </c>
      <c r="AB111" s="149">
        <f t="shared" si="9"/>
        <v>2717202.3753807531</v>
      </c>
      <c r="AC111" s="149">
        <f t="shared" si="9"/>
        <v>2717202.3753807531</v>
      </c>
      <c r="AD111" s="149">
        <f t="shared" si="9"/>
        <v>2717202.3753807531</v>
      </c>
      <c r="AE111" s="149">
        <f t="shared" si="9"/>
        <v>2717202.3753807531</v>
      </c>
      <c r="AF111" s="149">
        <f t="shared" si="9"/>
        <v>2717202.3753807531</v>
      </c>
      <c r="AG111" s="149">
        <f t="shared" si="9"/>
        <v>2717202.3753807531</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473900000.00000018</v>
      </c>
      <c r="D113" s="149">
        <f t="shared" ref="D113:AG113" si="10">$C$102</f>
        <v>15796666.666666666</v>
      </c>
      <c r="E113" s="149">
        <f t="shared" si="10"/>
        <v>15796666.666666666</v>
      </c>
      <c r="F113" s="149">
        <f t="shared" si="10"/>
        <v>15796666.666666666</v>
      </c>
      <c r="G113" s="149">
        <f t="shared" si="10"/>
        <v>15796666.666666666</v>
      </c>
      <c r="H113" s="149">
        <f t="shared" si="10"/>
        <v>15796666.666666666</v>
      </c>
      <c r="I113" s="149">
        <f t="shared" si="10"/>
        <v>15796666.666666666</v>
      </c>
      <c r="J113" s="149">
        <f t="shared" si="10"/>
        <v>15796666.666666666</v>
      </c>
      <c r="K113" s="149">
        <f t="shared" si="10"/>
        <v>15796666.666666666</v>
      </c>
      <c r="L113" s="149">
        <f t="shared" si="10"/>
        <v>15796666.666666666</v>
      </c>
      <c r="M113" s="149">
        <f t="shared" si="10"/>
        <v>15796666.666666666</v>
      </c>
      <c r="N113" s="149">
        <f t="shared" si="10"/>
        <v>15796666.666666666</v>
      </c>
      <c r="O113" s="149">
        <f t="shared" si="10"/>
        <v>15796666.666666666</v>
      </c>
      <c r="P113" s="149">
        <f t="shared" si="10"/>
        <v>15796666.666666666</v>
      </c>
      <c r="Q113" s="149">
        <f t="shared" si="10"/>
        <v>15796666.666666666</v>
      </c>
      <c r="R113" s="149">
        <f t="shared" si="10"/>
        <v>15796666.666666666</v>
      </c>
      <c r="S113" s="149">
        <f t="shared" si="10"/>
        <v>15796666.666666666</v>
      </c>
      <c r="T113" s="149">
        <f t="shared" si="10"/>
        <v>15796666.666666666</v>
      </c>
      <c r="U113" s="149">
        <f t="shared" si="10"/>
        <v>15796666.666666666</v>
      </c>
      <c r="V113" s="149">
        <f t="shared" si="10"/>
        <v>15796666.666666666</v>
      </c>
      <c r="W113" s="149">
        <f t="shared" si="10"/>
        <v>15796666.666666666</v>
      </c>
      <c r="X113" s="149">
        <f t="shared" si="10"/>
        <v>15796666.666666666</v>
      </c>
      <c r="Y113" s="149">
        <f t="shared" si="10"/>
        <v>15796666.666666666</v>
      </c>
      <c r="Z113" s="149">
        <f t="shared" si="10"/>
        <v>15796666.666666666</v>
      </c>
      <c r="AA113" s="149">
        <f t="shared" si="10"/>
        <v>15796666.666666666</v>
      </c>
      <c r="AB113" s="149">
        <f t="shared" si="10"/>
        <v>15796666.666666666</v>
      </c>
      <c r="AC113" s="149">
        <f t="shared" si="10"/>
        <v>15796666.666666666</v>
      </c>
      <c r="AD113" s="149">
        <f t="shared" si="10"/>
        <v>15796666.666666666</v>
      </c>
      <c r="AE113" s="149">
        <f t="shared" si="10"/>
        <v>15796666.666666666</v>
      </c>
      <c r="AF113" s="149">
        <f t="shared" si="10"/>
        <v>15796666.666666666</v>
      </c>
      <c r="AG113" s="149">
        <f t="shared" si="10"/>
        <v>15796666.666666666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15796666.666666666</v>
      </c>
      <c r="E118" s="149">
        <f t="shared" ref="E118:AG118" si="13">E113+E115+E116</f>
        <v>15796666.666666666</v>
      </c>
      <c r="F118" s="149">
        <f>F113+F115+F116</f>
        <v>15796666.666666666</v>
      </c>
      <c r="G118" s="149">
        <f t="shared" si="13"/>
        <v>15796666.666666666</v>
      </c>
      <c r="H118" s="149">
        <f t="shared" si="13"/>
        <v>15796666.666666666</v>
      </c>
      <c r="I118" s="149">
        <f t="shared" si="13"/>
        <v>15796666.666666666</v>
      </c>
      <c r="J118" s="149">
        <f t="shared" si="13"/>
        <v>15796666.666666666</v>
      </c>
      <c r="K118" s="149">
        <f t="shared" si="13"/>
        <v>15796666.666666666</v>
      </c>
      <c r="L118" s="149">
        <f t="shared" si="13"/>
        <v>15796666.666666666</v>
      </c>
      <c r="M118" s="149">
        <f t="shared" si="13"/>
        <v>15796666.666666666</v>
      </c>
      <c r="N118" s="149">
        <f t="shared" si="13"/>
        <v>15796666.666666666</v>
      </c>
      <c r="O118" s="149">
        <f t="shared" si="13"/>
        <v>15796666.666666666</v>
      </c>
      <c r="P118" s="149">
        <f t="shared" si="13"/>
        <v>15796666.666666666</v>
      </c>
      <c r="Q118" s="149">
        <f t="shared" si="13"/>
        <v>15796666.666666666</v>
      </c>
      <c r="R118" s="149">
        <f t="shared" si="13"/>
        <v>15796666.666666666</v>
      </c>
      <c r="S118" s="149">
        <f t="shared" si="13"/>
        <v>15796666.666666666</v>
      </c>
      <c r="T118" s="149">
        <f t="shared" si="13"/>
        <v>15796666.666666666</v>
      </c>
      <c r="U118" s="149">
        <f t="shared" si="13"/>
        <v>15796666.666666666</v>
      </c>
      <c r="V118" s="149">
        <f t="shared" si="13"/>
        <v>15796666.666666666</v>
      </c>
      <c r="W118" s="149">
        <f t="shared" si="13"/>
        <v>15796666.666666666</v>
      </c>
      <c r="X118" s="149">
        <f t="shared" si="13"/>
        <v>15796666.666666666</v>
      </c>
      <c r="Y118" s="149">
        <f t="shared" si="13"/>
        <v>15796666.666666666</v>
      </c>
      <c r="Z118" s="149">
        <f t="shared" si="13"/>
        <v>15796666.666666666</v>
      </c>
      <c r="AA118" s="149">
        <f t="shared" si="13"/>
        <v>15796666.666666666</v>
      </c>
      <c r="AB118" s="149">
        <f t="shared" si="13"/>
        <v>15796666.666666666</v>
      </c>
      <c r="AC118" s="149">
        <f t="shared" si="13"/>
        <v>15796666.666666666</v>
      </c>
      <c r="AD118" s="149">
        <f t="shared" si="13"/>
        <v>15796666.666666666</v>
      </c>
      <c r="AE118" s="149">
        <f t="shared" si="13"/>
        <v>15796666.666666666</v>
      </c>
      <c r="AF118" s="149">
        <f t="shared" si="13"/>
        <v>15796666.666666666</v>
      </c>
      <c r="AG118" s="149">
        <f t="shared" si="13"/>
        <v>15796666.666666666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379120</v>
      </c>
      <c r="E120" s="149">
        <f>(SUM($D$118:E118)*$C$104/$C$106)+(SUM($D$118:E118)*$C$105/$C$107)</f>
        <v>758240</v>
      </c>
      <c r="F120" s="149">
        <f>(SUM($D$118:F118)*$C$104/$C$106)+(SUM($D$118:F118)*$C$105/$C$107)</f>
        <v>1137360</v>
      </c>
      <c r="G120" s="149">
        <f>(SUM($D$118:G118)*$C$104/$C$106)+(SUM($D$118:G118)*$C$105/$C$107)</f>
        <v>1516480</v>
      </c>
      <c r="H120" s="149">
        <f>(SUM($D$118:H118)*$C$104/$C$106)+(SUM($D$118:H118)*$C$105/$C$107)</f>
        <v>1895599.9999999998</v>
      </c>
      <c r="I120" s="149">
        <f>(SUM($D$118:I118)*$C$104/$C$106)+(SUM($D$118:I118)*$C$105/$C$107)</f>
        <v>2274720</v>
      </c>
      <c r="J120" s="149">
        <f>(SUM($D$118:J118)*$C$104/$C$106)+(SUM($D$118:J118)*$C$105/$C$107)</f>
        <v>2653840</v>
      </c>
      <c r="K120" s="149">
        <f>(SUM($D$118:K118)*$C$104/$C$106)+(SUM($D$118:K118)*$C$105/$C$107)</f>
        <v>3032960</v>
      </c>
      <c r="L120" s="149">
        <f>(SUM($D$118:L118)*$C$104/$C$106)+(SUM($D$118:L118)*$C$105/$C$107)</f>
        <v>3412080</v>
      </c>
      <c r="M120" s="149">
        <f>(SUM($D$118:M118)*$C$104/$C$106)+(SUM($D$118:M118)*$C$105/$C$107)</f>
        <v>3791199.9999999995</v>
      </c>
      <c r="N120" s="149">
        <f>(SUM($D$118:N118)*$C$104/$C$106)+(SUM($D$118:N118)*$C$105/$C$107)</f>
        <v>4170319.9999999991</v>
      </c>
      <c r="O120" s="149">
        <f>(SUM($D$118:O118)*$C$104/$C$106)+(SUM($D$118:O118)*$C$105/$C$107)</f>
        <v>4549439.9999999991</v>
      </c>
      <c r="P120" s="149">
        <f>(SUM($D$118:P118)*$C$104/$C$106)+(SUM($D$118:P118)*$C$105/$C$107)</f>
        <v>4928559.9999999991</v>
      </c>
      <c r="Q120" s="149">
        <f>(SUM($D$118:Q118)*$C$104/$C$106)+(SUM($D$118:Q118)*$C$105/$C$107)</f>
        <v>5307679.9999999991</v>
      </c>
      <c r="R120" s="149">
        <f>(SUM($D$118:R118)*$C$104/$C$106)+(SUM($D$118:R118)*$C$105/$C$107)</f>
        <v>5686799.9999999991</v>
      </c>
      <c r="S120" s="149">
        <f>(SUM($D$118:S118)*$C$104/$C$106)+(SUM($D$118:S118)*$C$105/$C$107)</f>
        <v>6065919.9999999972</v>
      </c>
      <c r="T120" s="149">
        <f>(SUM($D$118:T118)*$C$104/$C$106)+(SUM($D$118:T118)*$C$105/$C$107)</f>
        <v>6445039.9999999981</v>
      </c>
      <c r="U120" s="149">
        <f>(SUM($D$118:U118)*$C$104/$C$106)+(SUM($D$118:U118)*$C$105/$C$107)</f>
        <v>6824159.9999999991</v>
      </c>
      <c r="V120" s="149">
        <f>(SUM($D$118:V118)*$C$104/$C$106)+(SUM($D$118:V118)*$C$105/$C$107)</f>
        <v>7203279.9999999981</v>
      </c>
      <c r="W120" s="149">
        <f>(SUM($D$118:W118)*$C$104/$C$106)+(SUM($D$118:W118)*$C$105/$C$107)</f>
        <v>7582399.9999999991</v>
      </c>
      <c r="X120" s="149">
        <f>(SUM($D$118:X118)*$C$104/$C$106)+(SUM($D$118:X118)*$C$105/$C$107)</f>
        <v>7961520</v>
      </c>
      <c r="Y120" s="149">
        <f>(SUM($D$118:Y118)*$C$104/$C$106)+(SUM($D$118:Y118)*$C$105/$C$107)</f>
        <v>8340640</v>
      </c>
      <c r="Z120" s="149">
        <f>(SUM($D$118:Z118)*$C$104/$C$106)+(SUM($D$118:Z118)*$C$105/$C$107)</f>
        <v>8719760.0000000019</v>
      </c>
      <c r="AA120" s="149">
        <f>(SUM($D$118:AA118)*$C$104/$C$106)+(SUM($D$118:AA118)*$C$105/$C$107)</f>
        <v>9098880.0000000019</v>
      </c>
      <c r="AB120" s="149">
        <f>(SUM($D$118:AB118)*$C$104/$C$106)+(SUM($D$118:AB118)*$C$105/$C$107)</f>
        <v>9478000.0000000019</v>
      </c>
      <c r="AC120" s="149">
        <f>(SUM($D$118:AC118)*$C$104/$C$106)+(SUM($D$118:AC118)*$C$105/$C$107)</f>
        <v>9857120.0000000019</v>
      </c>
      <c r="AD120" s="149">
        <f>(SUM($D$118:AD118)*$C$104/$C$106)+(SUM($D$118:AD118)*$C$105/$C$107)</f>
        <v>10236240.000000002</v>
      </c>
      <c r="AE120" s="149">
        <f>(SUM($D$118:AE118)*$C$104/$C$106)+(SUM($D$118:AE118)*$C$105/$C$107)</f>
        <v>10615360.000000004</v>
      </c>
      <c r="AF120" s="149">
        <f>(SUM($D$118:AF118)*$C$104/$C$106)+(SUM($D$118:AF118)*$C$105/$C$107)</f>
        <v>10994480.000000002</v>
      </c>
      <c r="AG120" s="149">
        <f>(SUM($D$118:AG118)*$C$104/$C$106)+(SUM($D$118:AG118)*$C$105/$C$107)</f>
        <v>11373600.000000004</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473899.99999999994</v>
      </c>
      <c r="E122" s="72">
        <f>(SUM($D$118:E118)*$C$109)</f>
        <v>947799.99999999988</v>
      </c>
      <c r="F122" s="72">
        <f>(SUM($D$118:F118)*$C$109)</f>
        <v>1421700</v>
      </c>
      <c r="G122" s="72">
        <f>(SUM($D$118:G118)*$C$109)</f>
        <v>1895599.9999999998</v>
      </c>
      <c r="H122" s="72">
        <f>(SUM($D$118:H118)*$C$109)</f>
        <v>2369499.9999999995</v>
      </c>
      <c r="I122" s="72">
        <f>(SUM($D$118:I118)*$C$109)</f>
        <v>2843400</v>
      </c>
      <c r="J122" s="72">
        <f>(SUM($D$118:J118)*$C$109)</f>
        <v>3317300</v>
      </c>
      <c r="K122" s="72">
        <f>(SUM($D$118:K118)*$C$109)</f>
        <v>3791200</v>
      </c>
      <c r="L122" s="72">
        <f>(SUM($D$118:L118)*$C$109)</f>
        <v>4265100</v>
      </c>
      <c r="M122" s="72">
        <f>(SUM($D$118:M118)*$C$109)</f>
        <v>4738999.9999999991</v>
      </c>
      <c r="N122" s="72">
        <f>(SUM($D$118:N118)*$C$109)</f>
        <v>5212899.9999999991</v>
      </c>
      <c r="O122" s="72">
        <f>(SUM($D$118:O118)*$C$109)</f>
        <v>5686799.9999999991</v>
      </c>
      <c r="P122" s="72">
        <f>(SUM($D$118:P118)*$C$109)</f>
        <v>6160699.9999999981</v>
      </c>
      <c r="Q122" s="72">
        <f>(SUM($D$118:Q118)*$C$109)</f>
        <v>6634599.9999999981</v>
      </c>
      <c r="R122" s="72">
        <f>(SUM($D$118:R118)*$C$109)</f>
        <v>7108499.9999999981</v>
      </c>
      <c r="S122" s="72">
        <f>(SUM($D$118:S118)*$C$109)</f>
        <v>7582399.9999999972</v>
      </c>
      <c r="T122" s="72">
        <f>(SUM($D$118:T118)*$C$109)</f>
        <v>8056299.9999999972</v>
      </c>
      <c r="U122" s="72">
        <f>(SUM($D$118:U118)*$C$109)</f>
        <v>8530199.9999999981</v>
      </c>
      <c r="V122" s="72">
        <f>(SUM($D$118:V118)*$C$109)</f>
        <v>9004099.9999999981</v>
      </c>
      <c r="W122" s="72">
        <f>(SUM($D$118:W118)*$C$109)</f>
        <v>9477999.9999999981</v>
      </c>
      <c r="X122" s="72">
        <f>(SUM($D$118:X118)*$C$109)</f>
        <v>9951900</v>
      </c>
      <c r="Y122" s="72">
        <f>(SUM($D$118:Y118)*$C$109)</f>
        <v>10425800</v>
      </c>
      <c r="Z122" s="72">
        <f>(SUM($D$118:Z118)*$C$109)</f>
        <v>10899700</v>
      </c>
      <c r="AA122" s="72">
        <f>(SUM($D$118:AA118)*$C$109)</f>
        <v>11373600.000000002</v>
      </c>
      <c r="AB122" s="72">
        <f>(SUM($D$118:AB118)*$C$109)</f>
        <v>11847500.000000002</v>
      </c>
      <c r="AC122" s="72">
        <f>(SUM($D$118:AC118)*$C$109)</f>
        <v>12321400.000000002</v>
      </c>
      <c r="AD122" s="72">
        <f>(SUM($D$118:AD118)*$C$109)</f>
        <v>12795300.000000004</v>
      </c>
      <c r="AE122" s="72">
        <f>(SUM($D$118:AE118)*$C$109)</f>
        <v>13269200.000000004</v>
      </c>
      <c r="AF122" s="72">
        <f>(SUM($D$118:AF118)*$C$109)</f>
        <v>13743100.000000004</v>
      </c>
      <c r="AG122" s="72">
        <f>(SUM($D$118:AG118)*$C$109)</f>
        <v>14217000.000000006</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153</v>
      </c>
      <c r="B126" s="77" t="s">
        <v>133</v>
      </c>
      <c r="C126" s="126">
        <v>6770</v>
      </c>
      <c r="D126" s="140"/>
    </row>
    <row r="127" spans="1:33" x14ac:dyDescent="0.35">
      <c r="A127" s="77" t="s">
        <v>152</v>
      </c>
      <c r="B127" s="77" t="s">
        <v>134</v>
      </c>
      <c r="C127" s="126">
        <v>6770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6770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157</v>
      </c>
      <c r="B133" s="77" t="s">
        <v>158</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2507.4074074074074</v>
      </c>
      <c r="D135" s="157">
        <f t="shared" ref="D135:AG135" si="14">$C$135*D13</f>
        <v>2544.3268343467407</v>
      </c>
      <c r="E135" s="157">
        <f t="shared" si="14"/>
        <v>2581.7898682330356</v>
      </c>
      <c r="F135" s="157">
        <f t="shared" si="14"/>
        <v>2619.804513213086</v>
      </c>
      <c r="G135" s="157">
        <f t="shared" si="14"/>
        <v>2658.3788912878936</v>
      </c>
      <c r="H135" s="157">
        <f t="shared" si="14"/>
        <v>2697.5212440479704</v>
      </c>
      <c r="I135" s="157">
        <f t="shared" si="14"/>
        <v>2737.2399344341898</v>
      </c>
      <c r="J135" s="157">
        <f t="shared" si="14"/>
        <v>2777.5434485245705</v>
      </c>
      <c r="K135" s="157">
        <f t="shared" si="14"/>
        <v>2818.4403973473613</v>
      </c>
      <c r="L135" s="157">
        <f t="shared" si="14"/>
        <v>2859.9395187208288</v>
      </c>
      <c r="M135" s="157">
        <f t="shared" si="14"/>
        <v>2902.0496791201317</v>
      </c>
      <c r="N135" s="157">
        <f t="shared" si="14"/>
        <v>2944.7798755716826</v>
      </c>
      <c r="O135" s="157">
        <f t="shared" si="14"/>
        <v>2988.1392375754031</v>
      </c>
      <c r="P135" s="157">
        <f t="shared" si="14"/>
        <v>3032.1370290552841</v>
      </c>
      <c r="Q135" s="157">
        <f t="shared" si="14"/>
        <v>3076.7826503386646</v>
      </c>
      <c r="R135" s="157">
        <f t="shared" si="14"/>
        <v>3122.0856401646533</v>
      </c>
      <c r="S135" s="157">
        <f t="shared" si="14"/>
        <v>3168.0556777221254</v>
      </c>
      <c r="T135" s="157">
        <f t="shared" si="14"/>
        <v>3214.7025847177215</v>
      </c>
      <c r="U135" s="157">
        <f t="shared" si="14"/>
        <v>3262.0363274743045</v>
      </c>
      <c r="V135" s="157">
        <f t="shared" si="14"/>
        <v>3310.067019060305</v>
      </c>
      <c r="W135" s="157">
        <f t="shared" si="14"/>
        <v>3358.8049214504281</v>
      </c>
      <c r="X135" s="157">
        <f t="shared" si="14"/>
        <v>3408.260447718169</v>
      </c>
      <c r="Y135" s="157">
        <f t="shared" si="14"/>
        <v>3458.4441642606093</v>
      </c>
      <c r="Z135" s="157">
        <f t="shared" si="14"/>
        <v>3509.3667930559855</v>
      </c>
      <c r="AA135" s="157">
        <f t="shared" si="14"/>
        <v>3561.0392139544783</v>
      </c>
      <c r="AB135" s="157">
        <f t="shared" si="14"/>
        <v>3613.4724670027467</v>
      </c>
      <c r="AC135" s="157">
        <f t="shared" si="14"/>
        <v>3666.6777548026812</v>
      </c>
      <c r="AD135" s="157">
        <f t="shared" si="14"/>
        <v>3720.6664449048963</v>
      </c>
      <c r="AE135" s="157">
        <f t="shared" si="14"/>
        <v>3775.4500722374519</v>
      </c>
      <c r="AF135" s="157">
        <f t="shared" si="14"/>
        <v>3831.0403415703463</v>
      </c>
      <c r="AG135" s="157">
        <f t="shared" si="14"/>
        <v>3887.4491300162931</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0.65</v>
      </c>
      <c r="F4" s="65">
        <v>0.6</v>
      </c>
      <c r="G4" s="65">
        <v>0.31</v>
      </c>
      <c r="H4" s="65">
        <v>0.2</v>
      </c>
      <c r="I4" s="65">
        <v>0.12</v>
      </c>
      <c r="J4" s="65">
        <v>0.1</v>
      </c>
      <c r="K4" s="65">
        <v>0.06</v>
      </c>
      <c r="L4" s="65">
        <v>0.06</v>
      </c>
      <c r="M4" s="65">
        <v>0.06</v>
      </c>
      <c r="N4" s="65">
        <v>0.05</v>
      </c>
      <c r="O4" s="65">
        <v>0.05</v>
      </c>
      <c r="P4" s="65">
        <v>0.05</v>
      </c>
      <c r="Q4" s="65">
        <v>4.4999999999999998E-2</v>
      </c>
      <c r="R4" s="65">
        <v>0.04</v>
      </c>
      <c r="S4" s="65">
        <v>0.04</v>
      </c>
      <c r="T4" s="65">
        <v>0.04</v>
      </c>
      <c r="U4" s="65">
        <v>0.04</v>
      </c>
      <c r="V4" s="65">
        <v>0.04</v>
      </c>
      <c r="W4" s="65">
        <v>0.04</v>
      </c>
      <c r="X4" s="65">
        <v>0.04</v>
      </c>
      <c r="Y4" s="65">
        <v>3.5000000000000003E-2</v>
      </c>
      <c r="Z4" s="65">
        <v>3.5000000000000003E-2</v>
      </c>
      <c r="AA4" s="65">
        <v>3.5000000000000003E-2</v>
      </c>
      <c r="AB4" s="65">
        <v>3.5000000000000003E-2</v>
      </c>
      <c r="AC4" s="65">
        <v>3.5000000000000003E-2</v>
      </c>
      <c r="AD4" s="65">
        <v>3.5000000000000003E-2</v>
      </c>
      <c r="AE4" s="65">
        <v>3.5000000000000003E-2</v>
      </c>
      <c r="AF4" s="65">
        <v>3.5000000000000003E-2</v>
      </c>
      <c r="AG4" s="65">
        <v>0.03</v>
      </c>
      <c r="AH4" s="65">
        <v>0.03</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2.5043776258126749</v>
      </c>
      <c r="C6" s="25"/>
      <c r="D6" s="25"/>
      <c r="E6" s="27">
        <f>'Debt worksheet'!C5/'Profit and Loss'!C5</f>
        <v>2.126650524726406</v>
      </c>
      <c r="F6" s="28">
        <f ca="1">'Debt worksheet'!D5/'Profit and Loss'!D5</f>
        <v>2.4365432938905807</v>
      </c>
      <c r="G6" s="28">
        <f ca="1">'Debt worksheet'!E5/'Profit and Loss'!E5</f>
        <v>2.5023248167441161</v>
      </c>
      <c r="H6" s="28">
        <f ca="1">'Debt worksheet'!F5/'Profit and Loss'!F5</f>
        <v>2.4913551959210625</v>
      </c>
      <c r="I6" s="28">
        <f ca="1">'Debt worksheet'!G5/'Profit and Loss'!G5</f>
        <v>2.4981804292961733</v>
      </c>
      <c r="J6" s="28">
        <f ca="1">'Debt worksheet'!H5/'Profit and Loss'!H5</f>
        <v>2.4772470210958413</v>
      </c>
      <c r="K6" s="28">
        <f ca="1">'Debt worksheet'!I5/'Profit and Loss'!I5</f>
        <v>2.4976913582923275</v>
      </c>
      <c r="L6" s="28">
        <f ca="1">'Debt worksheet'!J5/'Profit and Loss'!J5</f>
        <v>2.5043776258126749</v>
      </c>
      <c r="M6" s="28">
        <f ca="1">'Debt worksheet'!K5/'Profit and Loss'!K5</f>
        <v>2.4968020686855747</v>
      </c>
      <c r="N6" s="28">
        <f ca="1">'Debt worksheet'!L5/'Profit and Loss'!L5</f>
        <v>2.4981662163898024</v>
      </c>
      <c r="O6" s="28">
        <f ca="1">'Debt worksheet'!M5/'Profit and Loss'!M5</f>
        <v>2.4934379400909501</v>
      </c>
      <c r="P6" s="28">
        <f ca="1">'Debt worksheet'!N5/'Profit and Loss'!N5</f>
        <v>2.4818795179063384</v>
      </c>
      <c r="Q6" s="28">
        <f ca="1">'Debt worksheet'!O5/'Profit and Loss'!O5</f>
        <v>2.4746319948253621</v>
      </c>
      <c r="R6" s="28">
        <f ca="1">'Debt worksheet'!P5/'Profit and Loss'!P5</f>
        <v>2.4756743903795662</v>
      </c>
      <c r="S6" s="28">
        <f ca="1">'Debt worksheet'!Q5/'Profit and Loss'!Q5</f>
        <v>2.4771124319222038</v>
      </c>
      <c r="T6" s="28">
        <f ca="1">'Debt worksheet'!R5/'Profit and Loss'!R5</f>
        <v>2.4781990876986102</v>
      </c>
      <c r="U6" s="28">
        <f ca="1">'Debt worksheet'!S5/'Profit and Loss'!S5</f>
        <v>2.4782414123255663</v>
      </c>
      <c r="V6" s="28">
        <f ca="1">'Debt worksheet'!T5/'Profit and Loss'!T5</f>
        <v>2.4765978451786568</v>
      </c>
      <c r="W6" s="28">
        <f ca="1">'Debt worksheet'!U5/'Profit and Loss'!U5</f>
        <v>2.4726756243304915</v>
      </c>
      <c r="X6" s="28">
        <f ca="1">'Debt worksheet'!V5/'Profit and Loss'!V5</f>
        <v>2.4659283114822186</v>
      </c>
      <c r="Y6" s="28">
        <f ca="1">'Debt worksheet'!W5/'Profit and Loss'!W5</f>
        <v>2.4677174497026839</v>
      </c>
      <c r="Z6" s="28">
        <f ca="1">'Debt worksheet'!X5/'Profit and Loss'!X5</f>
        <v>2.4704079228861691</v>
      </c>
      <c r="AA6" s="28">
        <f ca="1">'Debt worksheet'!Y5/'Profit and Loss'!Y5</f>
        <v>2.4734760792467752</v>
      </c>
      <c r="AB6" s="28">
        <f ca="1">'Debt worksheet'!Z5/'Profit and Loss'!Z5</f>
        <v>2.4764282943207867</v>
      </c>
      <c r="AC6" s="28">
        <f ca="1">'Debt worksheet'!AA5/'Profit and Loss'!AA5</f>
        <v>2.4787997499116767</v>
      </c>
      <c r="AD6" s="28">
        <f ca="1">'Debt worksheet'!AB5/'Profit and Loss'!AB5</f>
        <v>2.4801532562346429</v>
      </c>
      <c r="AE6" s="28">
        <f ca="1">'Debt worksheet'!AC5/'Profit and Loss'!AC5</f>
        <v>2.4800781158350778</v>
      </c>
      <c r="AF6" s="28">
        <f ca="1">'Debt worksheet'!AD5/'Profit and Loss'!AD5</f>
        <v>2.4781890279006071</v>
      </c>
      <c r="AG6" s="28">
        <f ca="1">'Debt worksheet'!AE5/'Profit and Loss'!AE5</f>
        <v>2.4861353473177052</v>
      </c>
      <c r="AH6" s="28">
        <f ca="1">'Debt worksheet'!AF5/'Profit and Loss'!AF5</f>
        <v>2.4963764649330078</v>
      </c>
      <c r="AI6" s="31"/>
    </row>
    <row r="7" spans="1:35" ht="21" x14ac:dyDescent="0.5">
      <c r="A7" s="19" t="s">
        <v>38</v>
      </c>
      <c r="B7" s="26">
        <f ca="1">MIN('Price and Financial ratios'!E7:AH7)</f>
        <v>0.16509043862886091</v>
      </c>
      <c r="C7" s="26"/>
      <c r="D7" s="26"/>
      <c r="E7" s="56">
        <f ca="1">'Cash Flow'!C7/'Debt worksheet'!C5</f>
        <v>0.16509043862886091</v>
      </c>
      <c r="F7" s="32">
        <f ca="1">'Cash Flow'!D7/'Debt worksheet'!D5</f>
        <v>0.21503232265852359</v>
      </c>
      <c r="G7" s="32">
        <f ca="1">'Cash Flow'!E7/'Debt worksheet'!E5</f>
        <v>0.23490396987252402</v>
      </c>
      <c r="H7" s="32">
        <f ca="1">'Cash Flow'!F7/'Debt worksheet'!F5</f>
        <v>0.24845024355062284</v>
      </c>
      <c r="I7" s="32">
        <f ca="1">'Cash Flow'!G7/'Debt worksheet'!G5</f>
        <v>0.25122147043562754</v>
      </c>
      <c r="J7" s="32">
        <f ca="1">'Cash Flow'!H7/'Debt worksheet'!H5</f>
        <v>0.25557011486665543</v>
      </c>
      <c r="K7" s="32">
        <f ca="1">'Cash Flow'!I7/'Debt worksheet'!I5</f>
        <v>0.25101179318270567</v>
      </c>
      <c r="L7" s="32">
        <f ca="1">'Cash Flow'!J7/'Debt worksheet'!J5</f>
        <v>0.24858917821028675</v>
      </c>
      <c r="M7" s="17">
        <f ca="1">'Cash Flow'!K7/'Debt worksheet'!K5</f>
        <v>0.24825773245157029</v>
      </c>
      <c r="N7" s="17">
        <f ca="1">'Cash Flow'!L7/'Debt worksheet'!L5</f>
        <v>0.24608074144962414</v>
      </c>
      <c r="O7" s="17">
        <f ca="1">'Cash Flow'!M7/'Debt worksheet'!M5</f>
        <v>0.2449565910031965</v>
      </c>
      <c r="P7" s="17">
        <f ca="1">'Cash Flow'!N7/'Debt worksheet'!N5</f>
        <v>0.24494044349814237</v>
      </c>
      <c r="Q7" s="17">
        <f ca="1">'Cash Flow'!O7/'Debt worksheet'!O5</f>
        <v>0.2440930075623369</v>
      </c>
      <c r="R7" s="17">
        <f ca="1">'Cash Flow'!P7/'Debt worksheet'!P5</f>
        <v>0.24191719980928253</v>
      </c>
      <c r="S7" s="17">
        <f ca="1">'Cash Flow'!Q7/'Debt worksheet'!Q5</f>
        <v>0.23995122758803325</v>
      </c>
      <c r="T7" s="17">
        <f ca="1">'Cash Flow'!R7/'Debt worksheet'!R5</f>
        <v>0.23826481547924913</v>
      </c>
      <c r="U7" s="17">
        <f ca="1">'Cash Flow'!S7/'Debt worksheet'!S5</f>
        <v>0.23692026347398057</v>
      </c>
      <c r="V7" s="17">
        <f ca="1">'Cash Flow'!T7/'Debt worksheet'!T5</f>
        <v>0.23597394770712959</v>
      </c>
      <c r="W7" s="17">
        <f ca="1">'Cash Flow'!U7/'Debt worksheet'!U5</f>
        <v>0.23547797920615682</v>
      </c>
      <c r="X7" s="17">
        <f ca="1">'Cash Flow'!V7/'Debt worksheet'!V5</f>
        <v>0.23548196195149057</v>
      </c>
      <c r="Y7" s="17">
        <f ca="1">'Cash Flow'!W7/'Debt worksheet'!W5</f>
        <v>0.23400617658181769</v>
      </c>
      <c r="Z7" s="17">
        <f ca="1">'Cash Flow'!X7/'Debt worksheet'!X5</f>
        <v>0.23259643550650907</v>
      </c>
      <c r="AA7" s="17">
        <f ca="1">'Cash Flow'!Y7/'Debt worksheet'!Y5</f>
        <v>0.23130310169756207</v>
      </c>
      <c r="AB7" s="17">
        <f ca="1">'Cash Flow'!Z7/'Debt worksheet'!Z5</f>
        <v>0.23017213387801277</v>
      </c>
      <c r="AC7" s="17">
        <f ca="1">'Cash Flow'!AA7/'Debt worksheet'!AA5</f>
        <v>0.22924555902404742</v>
      </c>
      <c r="AD7" s="17">
        <f ca="1">'Cash Flow'!AB7/'Debt worksheet'!AB5</f>
        <v>0.2285620741150618</v>
      </c>
      <c r="AE7" s="17">
        <f ca="1">'Cash Flow'!AC7/'Debt worksheet'!AC5</f>
        <v>0.22815773947390269</v>
      </c>
      <c r="AF7" s="17">
        <f ca="1">'Cash Flow'!AD7/'Debt worksheet'!AD5</f>
        <v>0.22806673693780558</v>
      </c>
      <c r="AG7" s="17">
        <f ca="1">'Cash Flow'!AE7/'Debt worksheet'!AE5</f>
        <v>0.22629878154553512</v>
      </c>
      <c r="AH7" s="17">
        <f ca="1">'Cash Flow'!AF7/'Debt worksheet'!AF5</f>
        <v>0.22440561541421367</v>
      </c>
      <c r="AI7" s="29"/>
    </row>
    <row r="8" spans="1:35" ht="21" x14ac:dyDescent="0.5">
      <c r="A8" s="19" t="s">
        <v>33</v>
      </c>
      <c r="B8" s="26">
        <f ca="1">MAX('Price and Financial ratios'!E8:AH8)</f>
        <v>0.50955729207606104</v>
      </c>
      <c r="C8" s="26"/>
      <c r="D8" s="176"/>
      <c r="E8" s="17">
        <f>'Balance Sheet'!B11/'Balance Sheet'!B8</f>
        <v>0.23086239336866934</v>
      </c>
      <c r="F8" s="17">
        <f ca="1">'Balance Sheet'!C11/'Balance Sheet'!C8</f>
        <v>0.43238546808259803</v>
      </c>
      <c r="G8" s="17">
        <f ca="1">'Balance Sheet'!D11/'Balance Sheet'!D8</f>
        <v>0.49227473964064528</v>
      </c>
      <c r="H8" s="17">
        <f ca="1">'Balance Sheet'!E11/'Balance Sheet'!E8</f>
        <v>0.50955729207606104</v>
      </c>
      <c r="I8" s="17">
        <f ca="1">'Balance Sheet'!F11/'Balance Sheet'!F8</f>
        <v>0.50462545985444707</v>
      </c>
      <c r="J8" s="17">
        <f ca="1">'Balance Sheet'!G11/'Balance Sheet'!G8</f>
        <v>0.49207222604220441</v>
      </c>
      <c r="K8" s="17">
        <f ca="1">'Balance Sheet'!H11/'Balance Sheet'!H8</f>
        <v>0.47531606652942354</v>
      </c>
      <c r="L8" s="17">
        <f ca="1">'Balance Sheet'!I11/'Balance Sheet'!I8</f>
        <v>0.46069693140710133</v>
      </c>
      <c r="M8" s="17">
        <f ca="1">'Balance Sheet'!J11/'Balance Sheet'!J8</f>
        <v>0.4473081456928189</v>
      </c>
      <c r="N8" s="17">
        <f ca="1">'Balance Sheet'!K11/'Balance Sheet'!K8</f>
        <v>0.43447837338276546</v>
      </c>
      <c r="O8" s="17">
        <f ca="1">'Balance Sheet'!L11/'Balance Sheet'!L8</f>
        <v>0.42326131091552971</v>
      </c>
      <c r="P8" s="17">
        <f ca="1">'Balance Sheet'!M11/'Balance Sheet'!M8</f>
        <v>0.41312095018049305</v>
      </c>
      <c r="Q8" s="17">
        <f ca="1">'Balance Sheet'!N11/'Balance Sheet'!N8</f>
        <v>0.40363369351186668</v>
      </c>
      <c r="R8" s="17">
        <f ca="1">'Balance Sheet'!O11/'Balance Sheet'!O8</f>
        <v>0.39520553901116379</v>
      </c>
      <c r="S8" s="17">
        <f ca="1">'Balance Sheet'!P11/'Balance Sheet'!P8</f>
        <v>0.38824614407469782</v>
      </c>
      <c r="T8" s="17">
        <f ca="1">'Balance Sheet'!Q11/'Balance Sheet'!Q8</f>
        <v>0.38243743311148354</v>
      </c>
      <c r="U8" s="17">
        <f ca="1">'Balance Sheet'!R11/'Balance Sheet'!R8</f>
        <v>0.37751591705579068</v>
      </c>
      <c r="V8" s="17">
        <f ca="1">'Balance Sheet'!S11/'Balance Sheet'!S8</f>
        <v>0.37325973803397006</v>
      </c>
      <c r="W8" s="17">
        <f ca="1">'Balance Sheet'!T11/'Balance Sheet'!T8</f>
        <v>0.3694791539956962</v>
      </c>
      <c r="X8" s="17">
        <f ca="1">'Balance Sheet'!U11/'Balance Sheet'!U8</f>
        <v>0.36600944054580326</v>
      </c>
      <c r="Y8" s="17">
        <f ca="1">'Balance Sheet'!V11/'Balance Sheet'!V8</f>
        <v>0.3627055205257001</v>
      </c>
      <c r="Z8" s="17">
        <f ca="1">'Balance Sheet'!W11/'Balance Sheet'!W8</f>
        <v>0.36013272474639441</v>
      </c>
      <c r="AA8" s="17">
        <f ca="1">'Balance Sheet'!X11/'Balance Sheet'!X8</f>
        <v>0.35815397292668844</v>
      </c>
      <c r="AB8" s="17">
        <f ca="1">'Balance Sheet'!Y11/'Balance Sheet'!Y8</f>
        <v>0.35664795969818558</v>
      </c>
      <c r="AC8" s="17">
        <f ca="1">'Balance Sheet'!Z11/'Balance Sheet'!Z8</f>
        <v>0.35550625070343755</v>
      </c>
      <c r="AD8" s="17">
        <f ca="1">'Balance Sheet'!AA11/'Balance Sheet'!AA8</f>
        <v>0.35463096563817592</v>
      </c>
      <c r="AE8" s="17">
        <f ca="1">'Balance Sheet'!AB11/'Balance Sheet'!AB8</f>
        <v>0.35393291370143609</v>
      </c>
      <c r="AF8" s="17">
        <f ca="1">'Balance Sheet'!AC11/'Balance Sheet'!AC8</f>
        <v>0.35333008103248503</v>
      </c>
      <c r="AG8" s="17">
        <f ca="1">'Balance Sheet'!AD11/'Balance Sheet'!AD8</f>
        <v>0.35274639439503674</v>
      </c>
      <c r="AH8" s="17">
        <f ca="1">'Balance Sheet'!AE11/'Balance Sheet'!AE8</f>
        <v>0.3527908891793346</v>
      </c>
      <c r="AI8" s="29"/>
    </row>
    <row r="9" spans="1:35" ht="21.5" thickBot="1" x14ac:dyDescent="0.55000000000000004">
      <c r="A9" s="20" t="s">
        <v>32</v>
      </c>
      <c r="B9" s="21">
        <f ca="1">MIN('Price and Financial ratios'!E9:AH9)</f>
        <v>3.5357585330115016</v>
      </c>
      <c r="C9" s="21"/>
      <c r="D9" s="177"/>
      <c r="E9" s="21">
        <f ca="1">('Cash Flow'!C7+'Profit and Loss'!C8)/('Profit and Loss'!C8)</f>
        <v>3.5357585330115016</v>
      </c>
      <c r="F9" s="21">
        <f ca="1">('Cash Flow'!D7+'Profit and Loss'!D8)/('Profit and Loss'!D8)</f>
        <v>5.5003559142814202</v>
      </c>
      <c r="G9" s="21">
        <f ca="1">('Cash Flow'!E7+'Profit and Loss'!E8)/('Profit and Loss'!E8)</f>
        <v>6.5360640402721755</v>
      </c>
      <c r="H9" s="21">
        <f ca="1">('Cash Flow'!F7+'Profit and Loss'!F8)/('Profit and Loss'!F8)</f>
        <v>7.2289839824169606</v>
      </c>
      <c r="I9" s="21">
        <f ca="1">('Cash Flow'!G7+'Profit and Loss'!G8)/('Profit and Loss'!G8)</f>
        <v>7.4848885534539136</v>
      </c>
      <c r="J9" s="21">
        <f ca="1">('Cash Flow'!H7+'Profit and Loss'!H8)/('Profit and Loss'!H8)</f>
        <v>7.733156490041627</v>
      </c>
      <c r="K9" s="21">
        <f ca="1">('Cash Flow'!I7+'Profit and Loss'!I8)/('Profit and Loss'!I8)</f>
        <v>7.6498397385952011</v>
      </c>
      <c r="L9" s="21">
        <f ca="1">('Cash Flow'!J7+'Profit and Loss'!J8)/('Profit and Loss'!J8)</f>
        <v>7.6233242205898435</v>
      </c>
      <c r="M9" s="21">
        <f ca="1">('Cash Flow'!K7+'Profit and Loss'!K8)/('Profit and Loss'!K8)</f>
        <v>7.653654282611746</v>
      </c>
      <c r="N9" s="21">
        <f ca="1">('Cash Flow'!L7+'Profit and Loss'!L8)/('Profit and Loss'!L8)</f>
        <v>7.6114247153233539</v>
      </c>
      <c r="O9" s="21">
        <f ca="1">('Cash Flow'!M7+'Profit and Loss'!M8)/('Profit and Loss'!M8)</f>
        <v>7.5993575767221309</v>
      </c>
      <c r="P9" s="21">
        <f ca="1">('Cash Flow'!N7+'Profit and Loss'!N8)/('Profit and Loss'!N8)</f>
        <v>7.6190893340142143</v>
      </c>
      <c r="Q9" s="21">
        <f ca="1">('Cash Flow'!O7+'Profit and Loss'!O8)/('Profit and Loss'!O8)</f>
        <v>7.6057641025868747</v>
      </c>
      <c r="R9" s="21">
        <f ca="1">('Cash Flow'!P7+'Profit and Loss'!P8)/('Profit and Loss'!P8)</f>
        <v>7.5458368196540899</v>
      </c>
      <c r="S9" s="21">
        <f ca="1">('Cash Flow'!Q7+'Profit and Loss'!Q8)/('Profit and Loss'!Q8)</f>
        <v>7.4935639933134413</v>
      </c>
      <c r="T9" s="21">
        <f ca="1">('Cash Flow'!R7+'Profit and Loss'!R8)/('Profit and Loss'!R8)</f>
        <v>7.4506446785789535</v>
      </c>
      <c r="U9" s="21">
        <f ca="1">('Cash Flow'!S7+'Profit and Loss'!S8)/('Profit and Loss'!S8)</f>
        <v>7.4186094129398903</v>
      </c>
      <c r="V9" s="21">
        <f ca="1">('Cash Flow'!T7+'Profit and Loss'!T8)/('Profit and Loss'!T8)</f>
        <v>7.3988661201648513</v>
      </c>
      <c r="W9" s="21">
        <f ca="1">('Cash Flow'!U7+'Profit and Loss'!U8)/('Profit and Loss'!U8)</f>
        <v>7.3927485662411891</v>
      </c>
      <c r="X9" s="21">
        <f ca="1">('Cash Flow'!V7+'Profit and Loss'!V8)/('Profit and Loss'!V8)</f>
        <v>7.4015666616519002</v>
      </c>
      <c r="Y9" s="21">
        <f ca="1">('Cash Flow'!W7+'Profit and Loss'!W8)/('Profit and Loss'!W8)</f>
        <v>7.3591298534975262</v>
      </c>
      <c r="Z9" s="21">
        <f ca="1">('Cash Flow'!X7+'Profit and Loss'!X8)/('Profit and Loss'!X8)</f>
        <v>7.3198624166677861</v>
      </c>
      <c r="AA9" s="21">
        <f ca="1">('Cash Flow'!Y7+'Profit and Loss'!Y8)/('Profit and Loss'!Y8)</f>
        <v>7.2850252371923725</v>
      </c>
      <c r="AB9" s="21">
        <f ca="1">('Cash Flow'!Z7+'Profit and Loss'!Z8)/('Profit and Loss'!Z8)</f>
        <v>7.2557685119941748</v>
      </c>
      <c r="AC9" s="21">
        <f ca="1">('Cash Flow'!AA7+'Profit and Loss'!AA8)/('Profit and Loss'!AA8)</f>
        <v>7.2331484300757074</v>
      </c>
      <c r="AD9" s="21">
        <f ca="1">('Cash Flow'!AB7+'Profit and Loss'!AB8)/('Profit and Loss'!AB8)</f>
        <v>7.2181463358071154</v>
      </c>
      <c r="AE9" s="21">
        <f ca="1">('Cash Flow'!AC7+'Profit and Loss'!AC8)/('Profit and Loss'!AC8)</f>
        <v>7.2116896274950699</v>
      </c>
      <c r="AF9" s="21">
        <f ca="1">('Cash Flow'!AD7+'Profit and Loss'!AD8)/('Profit and Loss'!AD8)</f>
        <v>7.2146739366528028</v>
      </c>
      <c r="AG9" s="21">
        <f ca="1">('Cash Flow'!AE7+'Profit and Loss'!AE8)/('Profit and Loss'!AE8)</f>
        <v>7.1608926496561107</v>
      </c>
      <c r="AH9" s="21">
        <f ca="1">('Cash Flow'!AF7+'Profit and Loss'!AF8)/('Profit and Loss'!AF8)</f>
        <v>7.1047779001944544</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2717202.3753807531</v>
      </c>
      <c r="D5" s="1">
        <f>Assumptions!E111</f>
        <v>2717202.3753807531</v>
      </c>
      <c r="E5" s="1">
        <f>Assumptions!F111</f>
        <v>2717202.3753807531</v>
      </c>
      <c r="F5" s="1">
        <f>Assumptions!G111</f>
        <v>2717202.3753807531</v>
      </c>
      <c r="G5" s="1">
        <f>Assumptions!H111</f>
        <v>2717202.3753807531</v>
      </c>
      <c r="H5" s="1">
        <f>Assumptions!I111</f>
        <v>2717202.3753807531</v>
      </c>
      <c r="I5" s="1">
        <f>Assumptions!J111</f>
        <v>2717202.3753807531</v>
      </c>
      <c r="J5" s="1">
        <f>Assumptions!K111</f>
        <v>2717202.3753807531</v>
      </c>
      <c r="K5" s="1">
        <f>Assumptions!L111</f>
        <v>2717202.3753807531</v>
      </c>
      <c r="L5" s="1">
        <f>Assumptions!M111</f>
        <v>2717202.3753807531</v>
      </c>
      <c r="M5" s="1">
        <f>Assumptions!N111</f>
        <v>2717202.3753807531</v>
      </c>
      <c r="N5" s="1">
        <f>Assumptions!O111</f>
        <v>2717202.3753807531</v>
      </c>
      <c r="O5" s="1">
        <f>Assumptions!P111</f>
        <v>2717202.3753807531</v>
      </c>
      <c r="P5" s="1">
        <f>Assumptions!Q111</f>
        <v>2717202.3753807531</v>
      </c>
      <c r="Q5" s="1">
        <f>Assumptions!R111</f>
        <v>2717202.3753807531</v>
      </c>
      <c r="R5" s="1">
        <f>Assumptions!S111</f>
        <v>2717202.3753807531</v>
      </c>
      <c r="S5" s="1">
        <f>Assumptions!T111</f>
        <v>2717202.3753807531</v>
      </c>
      <c r="T5" s="1">
        <f>Assumptions!U111</f>
        <v>2717202.3753807531</v>
      </c>
      <c r="U5" s="1">
        <f>Assumptions!V111</f>
        <v>2717202.3753807531</v>
      </c>
      <c r="V5" s="1">
        <f>Assumptions!W111</f>
        <v>2717202.3753807531</v>
      </c>
      <c r="W5" s="1">
        <f>Assumptions!X111</f>
        <v>2717202.3753807531</v>
      </c>
      <c r="X5" s="1">
        <f>Assumptions!Y111</f>
        <v>2717202.3753807531</v>
      </c>
      <c r="Y5" s="1">
        <f>Assumptions!Z111</f>
        <v>2717202.3753807531</v>
      </c>
      <c r="Z5" s="1">
        <f>Assumptions!AA111</f>
        <v>2717202.3753807531</v>
      </c>
      <c r="AA5" s="1">
        <f>Assumptions!AB111</f>
        <v>2717202.3753807531</v>
      </c>
      <c r="AB5" s="1">
        <f>Assumptions!AC111</f>
        <v>2717202.3753807531</v>
      </c>
      <c r="AC5" s="1">
        <f>Assumptions!AD111</f>
        <v>2717202.3753807531</v>
      </c>
      <c r="AD5" s="1">
        <f>Assumptions!AE111</f>
        <v>2717202.3753807531</v>
      </c>
      <c r="AE5" s="1">
        <f>Assumptions!AF111</f>
        <v>2717202.3753807531</v>
      </c>
      <c r="AF5" s="1">
        <f>Assumptions!AG111</f>
        <v>2717202.3753807531</v>
      </c>
    </row>
    <row r="6" spans="1:32" x14ac:dyDescent="0.35">
      <c r="A6" t="s">
        <v>68</v>
      </c>
      <c r="C6" s="1">
        <f>Assumptions!D113</f>
        <v>15796666.666666666</v>
      </c>
      <c r="D6" s="1">
        <f>Assumptions!E113</f>
        <v>15796666.666666666</v>
      </c>
      <c r="E6" s="1">
        <f>Assumptions!F113</f>
        <v>15796666.666666666</v>
      </c>
      <c r="F6" s="1">
        <f>Assumptions!G113</f>
        <v>15796666.666666666</v>
      </c>
      <c r="G6" s="1">
        <f>Assumptions!H113</f>
        <v>15796666.666666666</v>
      </c>
      <c r="H6" s="1">
        <f>Assumptions!I113</f>
        <v>15796666.666666666</v>
      </c>
      <c r="I6" s="1">
        <f>Assumptions!J113</f>
        <v>15796666.666666666</v>
      </c>
      <c r="J6" s="1">
        <f>Assumptions!K113</f>
        <v>15796666.666666666</v>
      </c>
      <c r="K6" s="1">
        <f>Assumptions!L113</f>
        <v>15796666.666666666</v>
      </c>
      <c r="L6" s="1">
        <f>Assumptions!M113</f>
        <v>15796666.666666666</v>
      </c>
      <c r="M6" s="1">
        <f>Assumptions!N113</f>
        <v>15796666.666666666</v>
      </c>
      <c r="N6" s="1">
        <f>Assumptions!O113</f>
        <v>15796666.666666666</v>
      </c>
      <c r="O6" s="1">
        <f>Assumptions!P113</f>
        <v>15796666.666666666</v>
      </c>
      <c r="P6" s="1">
        <f>Assumptions!Q113</f>
        <v>15796666.666666666</v>
      </c>
      <c r="Q6" s="1">
        <f>Assumptions!R113</f>
        <v>15796666.666666666</v>
      </c>
      <c r="R6" s="1">
        <f>Assumptions!S113</f>
        <v>15796666.666666666</v>
      </c>
      <c r="S6" s="1">
        <f>Assumptions!T113</f>
        <v>15796666.666666666</v>
      </c>
      <c r="T6" s="1">
        <f>Assumptions!U113</f>
        <v>15796666.666666666</v>
      </c>
      <c r="U6" s="1">
        <f>Assumptions!V113</f>
        <v>15796666.666666666</v>
      </c>
      <c r="V6" s="1">
        <f>Assumptions!W113</f>
        <v>15796666.666666666</v>
      </c>
      <c r="W6" s="1">
        <f>Assumptions!X113</f>
        <v>15796666.666666666</v>
      </c>
      <c r="X6" s="1">
        <f>Assumptions!Y113</f>
        <v>15796666.666666666</v>
      </c>
      <c r="Y6" s="1">
        <f>Assumptions!Z113</f>
        <v>15796666.666666666</v>
      </c>
      <c r="Z6" s="1">
        <f>Assumptions!AA113</f>
        <v>15796666.666666666</v>
      </c>
      <c r="AA6" s="1">
        <f>Assumptions!AB113</f>
        <v>15796666.666666666</v>
      </c>
      <c r="AB6" s="1">
        <f>Assumptions!AC113</f>
        <v>15796666.666666666</v>
      </c>
      <c r="AC6" s="1">
        <f>Assumptions!AD113</f>
        <v>15796666.666666666</v>
      </c>
      <c r="AD6" s="1">
        <f>Assumptions!AE113</f>
        <v>15796666.666666666</v>
      </c>
      <c r="AE6" s="1">
        <f>Assumptions!AF113</f>
        <v>15796666.666666666</v>
      </c>
      <c r="AF6" s="1">
        <f>Assumptions!AG113</f>
        <v>15796666.666666666</v>
      </c>
    </row>
    <row r="7" spans="1:32" x14ac:dyDescent="0.35">
      <c r="A7" t="s">
        <v>73</v>
      </c>
      <c r="C7" s="1">
        <f>Assumptions!D120</f>
        <v>379120</v>
      </c>
      <c r="D7" s="1">
        <f>Assumptions!E120</f>
        <v>758240</v>
      </c>
      <c r="E7" s="1">
        <f>Assumptions!F120</f>
        <v>1137360</v>
      </c>
      <c r="F7" s="1">
        <f>Assumptions!G120</f>
        <v>1516480</v>
      </c>
      <c r="G7" s="1">
        <f>Assumptions!H120</f>
        <v>1895599.9999999998</v>
      </c>
      <c r="H7" s="1">
        <f>Assumptions!I120</f>
        <v>2274720</v>
      </c>
      <c r="I7" s="1">
        <f>Assumptions!J120</f>
        <v>2653840</v>
      </c>
      <c r="J7" s="1">
        <f>Assumptions!K120</f>
        <v>3032960</v>
      </c>
      <c r="K7" s="1">
        <f>Assumptions!L120</f>
        <v>3412080</v>
      </c>
      <c r="L7" s="1">
        <f>Assumptions!M120</f>
        <v>3791199.9999999995</v>
      </c>
      <c r="M7" s="1">
        <f>Assumptions!N120</f>
        <v>4170319.9999999991</v>
      </c>
      <c r="N7" s="1">
        <f>Assumptions!O120</f>
        <v>4549439.9999999991</v>
      </c>
      <c r="O7" s="1">
        <f>Assumptions!P120</f>
        <v>4928559.9999999991</v>
      </c>
      <c r="P7" s="1">
        <f>Assumptions!Q120</f>
        <v>5307679.9999999991</v>
      </c>
      <c r="Q7" s="1">
        <f>Assumptions!R120</f>
        <v>5686799.9999999991</v>
      </c>
      <c r="R7" s="1">
        <f>Assumptions!S120</f>
        <v>6065919.9999999972</v>
      </c>
      <c r="S7" s="1">
        <f>Assumptions!T120</f>
        <v>6445039.9999999981</v>
      </c>
      <c r="T7" s="1">
        <f>Assumptions!U120</f>
        <v>6824159.9999999991</v>
      </c>
      <c r="U7" s="1">
        <f>Assumptions!V120</f>
        <v>7203279.9999999981</v>
      </c>
      <c r="V7" s="1">
        <f>Assumptions!W120</f>
        <v>7582399.9999999991</v>
      </c>
      <c r="W7" s="1">
        <f>Assumptions!X120</f>
        <v>7961520</v>
      </c>
      <c r="X7" s="1">
        <f>Assumptions!Y120</f>
        <v>8340640</v>
      </c>
      <c r="Y7" s="1">
        <f>Assumptions!Z120</f>
        <v>8719760.0000000019</v>
      </c>
      <c r="Z7" s="1">
        <f>Assumptions!AA120</f>
        <v>9098880.0000000019</v>
      </c>
      <c r="AA7" s="1">
        <f>Assumptions!AB120</f>
        <v>9478000.0000000019</v>
      </c>
      <c r="AB7" s="1">
        <f>Assumptions!AC120</f>
        <v>9857120.0000000019</v>
      </c>
      <c r="AC7" s="1">
        <f>Assumptions!AD120</f>
        <v>10236240.000000002</v>
      </c>
      <c r="AD7" s="1">
        <f>Assumptions!AE120</f>
        <v>10615360.000000004</v>
      </c>
      <c r="AE7" s="1">
        <f>Assumptions!AF120</f>
        <v>10994480.000000002</v>
      </c>
      <c r="AF7" s="1">
        <f>Assumptions!AG120</f>
        <v>11373600.000000004</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2804152.8513929374</v>
      </c>
      <c r="D11" s="1">
        <f>D5*D$9</f>
        <v>2893885.7426375109</v>
      </c>
      <c r="E11" s="1">
        <f t="shared" ref="D11:AF13" si="1">E5*E$9</f>
        <v>2986490.0864019115</v>
      </c>
      <c r="F11" s="1">
        <f t="shared" si="1"/>
        <v>3082057.7691667723</v>
      </c>
      <c r="G11" s="1">
        <f t="shared" si="1"/>
        <v>3180683.6177801094</v>
      </c>
      <c r="H11" s="1">
        <f t="shared" si="1"/>
        <v>3282465.4935490726</v>
      </c>
      <c r="I11" s="1">
        <f t="shared" si="1"/>
        <v>3387504.3893426424</v>
      </c>
      <c r="J11" s="1">
        <f t="shared" si="1"/>
        <v>3495904.5298016076</v>
      </c>
      <c r="K11" s="1">
        <f t="shared" si="1"/>
        <v>3607773.4747552592</v>
      </c>
      <c r="L11" s="1">
        <f t="shared" si="1"/>
        <v>3723222.2259474271</v>
      </c>
      <c r="M11" s="1">
        <f t="shared" si="1"/>
        <v>3842365.3371777446</v>
      </c>
      <c r="N11" s="1">
        <f t="shared" si="1"/>
        <v>3965321.0279674325</v>
      </c>
      <c r="O11" s="1">
        <f t="shared" si="1"/>
        <v>4092211.300862391</v>
      </c>
      <c r="P11" s="1">
        <f t="shared" si="1"/>
        <v>4223162.0624899864</v>
      </c>
      <c r="Q11" s="1">
        <f t="shared" si="1"/>
        <v>4358303.2484896658</v>
      </c>
      <c r="R11" s="1">
        <f t="shared" si="1"/>
        <v>4497768.9524413357</v>
      </c>
      <c r="S11" s="1">
        <f t="shared" si="1"/>
        <v>4641697.5589194587</v>
      </c>
      <c r="T11" s="1">
        <f t="shared" si="1"/>
        <v>4790231.8808048815</v>
      </c>
      <c r="U11" s="1">
        <f t="shared" si="1"/>
        <v>4943519.3009906365</v>
      </c>
      <c r="V11" s="1">
        <f t="shared" si="1"/>
        <v>5101711.9186223373</v>
      </c>
      <c r="W11" s="1">
        <f t="shared" si="1"/>
        <v>5264966.7000182532</v>
      </c>
      <c r="X11" s="1">
        <f t="shared" si="1"/>
        <v>5433445.6344188368</v>
      </c>
      <c r="Y11" s="1">
        <f t="shared" si="1"/>
        <v>5607315.8947202386</v>
      </c>
      <c r="Z11" s="1">
        <f t="shared" si="1"/>
        <v>5786750.0033512861</v>
      </c>
      <c r="AA11" s="1">
        <f t="shared" si="1"/>
        <v>5971926.0034585288</v>
      </c>
      <c r="AB11" s="1">
        <f t="shared" si="1"/>
        <v>6163027.6355692009</v>
      </c>
      <c r="AC11" s="1">
        <f t="shared" si="1"/>
        <v>6360244.5199074149</v>
      </c>
      <c r="AD11" s="1">
        <f t="shared" si="1"/>
        <v>6563772.3445444526</v>
      </c>
      <c r="AE11" s="1">
        <f t="shared" si="1"/>
        <v>6773813.0595698748</v>
      </c>
      <c r="AF11" s="1">
        <f t="shared" si="1"/>
        <v>6990575.0774761103</v>
      </c>
    </row>
    <row r="12" spans="1:32" x14ac:dyDescent="0.35">
      <c r="A12" t="s">
        <v>71</v>
      </c>
      <c r="C12" s="1">
        <f t="shared" ref="C12:R12" si="2">C6*C$9</f>
        <v>16302160</v>
      </c>
      <c r="D12" s="1">
        <f t="shared" si="2"/>
        <v>16823829.119999997</v>
      </c>
      <c r="E12" s="1">
        <f t="shared" si="2"/>
        <v>17362191.651839998</v>
      </c>
      <c r="F12" s="1">
        <f t="shared" si="2"/>
        <v>17917781.784698877</v>
      </c>
      <c r="G12" s="1">
        <f t="shared" si="2"/>
        <v>18491150.801809244</v>
      </c>
      <c r="H12" s="1">
        <f t="shared" si="2"/>
        <v>19082867.627467137</v>
      </c>
      <c r="I12" s="1">
        <f t="shared" si="2"/>
        <v>19693519.391546082</v>
      </c>
      <c r="J12" s="1">
        <f t="shared" si="2"/>
        <v>20323712.012075562</v>
      </c>
      <c r="K12" s="1">
        <f t="shared" si="2"/>
        <v>20974070.796461981</v>
      </c>
      <c r="L12" s="1">
        <f t="shared" si="2"/>
        <v>21645241.061948761</v>
      </c>
      <c r="M12" s="1">
        <f t="shared" si="2"/>
        <v>22337888.77593112</v>
      </c>
      <c r="N12" s="1">
        <f t="shared" si="2"/>
        <v>23052701.216760918</v>
      </c>
      <c r="O12" s="1">
        <f t="shared" si="2"/>
        <v>23790387.655697268</v>
      </c>
      <c r="P12" s="1">
        <f t="shared" si="2"/>
        <v>24551680.060679577</v>
      </c>
      <c r="Q12" s="1">
        <f t="shared" si="2"/>
        <v>25337333.822621319</v>
      </c>
      <c r="R12" s="1">
        <f t="shared" si="2"/>
        <v>26148128.504945207</v>
      </c>
      <c r="S12" s="1">
        <f t="shared" si="1"/>
        <v>26984868.617103457</v>
      </c>
      <c r="T12" s="1">
        <f t="shared" si="1"/>
        <v>27848384.412850764</v>
      </c>
      <c r="U12" s="1">
        <f t="shared" si="1"/>
        <v>28739532.714061987</v>
      </c>
      <c r="V12" s="1">
        <f t="shared" si="1"/>
        <v>29659197.760911971</v>
      </c>
      <c r="W12" s="1">
        <f t="shared" si="1"/>
        <v>30608292.089261159</v>
      </c>
      <c r="X12" s="1">
        <f t="shared" si="1"/>
        <v>31587757.436117511</v>
      </c>
      <c r="Y12" s="1">
        <f t="shared" si="1"/>
        <v>32598565.674073268</v>
      </c>
      <c r="Z12" s="1">
        <f t="shared" si="1"/>
        <v>33641719.775643617</v>
      </c>
      <c r="AA12" s="1">
        <f t="shared" si="1"/>
        <v>34718254.808464222</v>
      </c>
      <c r="AB12" s="1">
        <f t="shared" si="1"/>
        <v>35829238.962335065</v>
      </c>
      <c r="AC12" s="1">
        <f t="shared" si="1"/>
        <v>36975774.609129786</v>
      </c>
      <c r="AD12" s="1">
        <f t="shared" si="1"/>
        <v>38158999.396621943</v>
      </c>
      <c r="AE12" s="1">
        <f t="shared" si="1"/>
        <v>39380087.377313845</v>
      </c>
      <c r="AF12" s="1">
        <f t="shared" si="1"/>
        <v>40640250.173387885</v>
      </c>
    </row>
    <row r="13" spans="1:32" x14ac:dyDescent="0.35">
      <c r="A13" t="s">
        <v>74</v>
      </c>
      <c r="C13" s="1">
        <f>C7*C$9</f>
        <v>391251.84</v>
      </c>
      <c r="D13" s="1">
        <f t="shared" si="1"/>
        <v>807543.79775999999</v>
      </c>
      <c r="E13" s="1">
        <f t="shared" si="1"/>
        <v>1250077.7989324799</v>
      </c>
      <c r="F13" s="1">
        <f t="shared" si="1"/>
        <v>1720107.0513310924</v>
      </c>
      <c r="G13" s="1">
        <f t="shared" si="1"/>
        <v>2218938.0962171089</v>
      </c>
      <c r="H13" s="1">
        <f t="shared" si="1"/>
        <v>2747932.938355268</v>
      </c>
      <c r="I13" s="1">
        <f t="shared" si="1"/>
        <v>3308511.2577797421</v>
      </c>
      <c r="J13" s="1">
        <f t="shared" si="1"/>
        <v>3902152.7063185079</v>
      </c>
      <c r="K13" s="1">
        <f t="shared" si="1"/>
        <v>4530399.2920357883</v>
      </c>
      <c r="L13" s="1">
        <f t="shared" si="1"/>
        <v>5194857.8548677024</v>
      </c>
      <c r="M13" s="1">
        <f t="shared" si="1"/>
        <v>5897202.636845815</v>
      </c>
      <c r="N13" s="1">
        <f t="shared" si="1"/>
        <v>6639177.9504271429</v>
      </c>
      <c r="O13" s="1">
        <f t="shared" si="1"/>
        <v>7422600.9485775465</v>
      </c>
      <c r="P13" s="1">
        <f t="shared" si="1"/>
        <v>8249364.5003883373</v>
      </c>
      <c r="Q13" s="1">
        <f t="shared" si="1"/>
        <v>9121440.1761436742</v>
      </c>
      <c r="R13" s="1">
        <f t="shared" si="1"/>
        <v>10040881.345898956</v>
      </c>
      <c r="S13" s="1">
        <f t="shared" si="1"/>
        <v>11009826.395778207</v>
      </c>
      <c r="T13" s="1">
        <f t="shared" si="1"/>
        <v>12030502.066351529</v>
      </c>
      <c r="U13" s="1">
        <f t="shared" si="1"/>
        <v>13105226.917612262</v>
      </c>
      <c r="V13" s="1">
        <f t="shared" si="1"/>
        <v>14236414.925237745</v>
      </c>
      <c r="W13" s="1">
        <f t="shared" si="1"/>
        <v>15426579.212987624</v>
      </c>
      <c r="X13" s="1">
        <f t="shared" si="1"/>
        <v>16678335.926270047</v>
      </c>
      <c r="Y13" s="1">
        <f t="shared" si="1"/>
        <v>17994408.252088446</v>
      </c>
      <c r="Z13" s="1">
        <f t="shared" si="1"/>
        <v>19377630.590770725</v>
      </c>
      <c r="AA13" s="1">
        <f t="shared" si="1"/>
        <v>20830952.885078534</v>
      </c>
      <c r="AB13" s="1">
        <f t="shared" si="1"/>
        <v>22357445.112497088</v>
      </c>
      <c r="AC13" s="1">
        <f t="shared" si="1"/>
        <v>23960301.946716107</v>
      </c>
      <c r="AD13" s="1">
        <f t="shared" si="1"/>
        <v>25642847.594529957</v>
      </c>
      <c r="AE13" s="1">
        <f t="shared" si="1"/>
        <v>27408540.81461044</v>
      </c>
      <c r="AF13" s="1">
        <f t="shared" si="1"/>
        <v>29260980.124839284</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19497564.691392936</v>
      </c>
      <c r="D25" s="40">
        <f>SUM(D11:D13,D18:D23)</f>
        <v>20525258.660397507</v>
      </c>
      <c r="E25" s="40">
        <f t="shared" ref="E25:AF25" si="7">SUM(E11:E13,E18:E23)</f>
        <v>21598759.537174392</v>
      </c>
      <c r="F25" s="40">
        <f t="shared" si="7"/>
        <v>22719946.60519674</v>
      </c>
      <c r="G25" s="40">
        <f t="shared" si="7"/>
        <v>23890772.515806459</v>
      </c>
      <c r="H25" s="40">
        <f t="shared" si="7"/>
        <v>25113266.059371475</v>
      </c>
      <c r="I25" s="40">
        <f t="shared" si="7"/>
        <v>26389535.038668469</v>
      </c>
      <c r="J25" s="40">
        <f t="shared" si="7"/>
        <v>27721769.248195678</v>
      </c>
      <c r="K25" s="40">
        <f t="shared" si="7"/>
        <v>29112243.56325303</v>
      </c>
      <c r="L25" s="40">
        <f t="shared" si="7"/>
        <v>30563321.14276389</v>
      </c>
      <c r="M25" s="40">
        <f t="shared" si="7"/>
        <v>32077456.749954682</v>
      </c>
      <c r="N25" s="40">
        <f t="shared" si="7"/>
        <v>33657200.195155494</v>
      </c>
      <c r="O25" s="40">
        <f t="shared" si="7"/>
        <v>35305199.905137204</v>
      </c>
      <c r="P25" s="40">
        <f t="shared" si="7"/>
        <v>37024206.623557903</v>
      </c>
      <c r="Q25" s="40">
        <f t="shared" si="7"/>
        <v>38817077.247254662</v>
      </c>
      <c r="R25" s="40">
        <f t="shared" si="7"/>
        <v>40686778.803285494</v>
      </c>
      <c r="S25" s="40">
        <f t="shared" si="7"/>
        <v>42636392.571801126</v>
      </c>
      <c r="T25" s="40">
        <f t="shared" si="7"/>
        <v>44669118.360007174</v>
      </c>
      <c r="U25" s="40">
        <f t="shared" si="7"/>
        <v>46788278.932664886</v>
      </c>
      <c r="V25" s="40">
        <f t="shared" si="7"/>
        <v>48997324.604772054</v>
      </c>
      <c r="W25" s="40">
        <f t="shared" si="7"/>
        <v>51299838.00226704</v>
      </c>
      <c r="X25" s="40">
        <f t="shared" si="7"/>
        <v>53699538.996806391</v>
      </c>
      <c r="Y25" s="40">
        <f t="shared" si="7"/>
        <v>56200289.820881948</v>
      </c>
      <c r="Z25" s="40">
        <f t="shared" si="7"/>
        <v>58806100.369765624</v>
      </c>
      <c r="AA25" s="40">
        <f t="shared" si="7"/>
        <v>61521133.697001286</v>
      </c>
      <c r="AB25" s="40">
        <f t="shared" si="7"/>
        <v>64349711.710401356</v>
      </c>
      <c r="AC25" s="40">
        <f t="shared" si="7"/>
        <v>67296321.075753301</v>
      </c>
      <c r="AD25" s="40">
        <f t="shared" si="7"/>
        <v>70365619.335696355</v>
      </c>
      <c r="AE25" s="40">
        <f t="shared" si="7"/>
        <v>73562441.251494154</v>
      </c>
      <c r="AF25" s="40">
        <f t="shared" si="7"/>
        <v>76891805.375703275</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164</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8942565.2211693935</v>
      </c>
      <c r="D5" s="59">
        <f>C5*('Price and Financial ratios'!F4+1)*(1+Assumptions!$C$13)</f>
        <v>14518778.938213626</v>
      </c>
      <c r="E5" s="59">
        <f>D5*('Price and Financial ratios'!G4+1)*(1+Assumptions!$C$13)</f>
        <v>19299647.738282528</v>
      </c>
      <c r="F5" s="59">
        <f>E5*('Price and Financial ratios'!H4+1)*(1+Assumptions!$C$13)</f>
        <v>23500582.22954258</v>
      </c>
      <c r="G5" s="59">
        <f>F5*('Price and Financial ratios'!I4+1)*(1+Assumptions!$C$13)</f>
        <v>26708201.160404373</v>
      </c>
      <c r="H5" s="59">
        <f>G5*('Price and Financial ratios'!J4+1)*(1+Assumptions!$C$13)</f>
        <v>29811602.206995036</v>
      </c>
      <c r="I5" s="59">
        <f>H5*('Price and Financial ratios'!K4+1)*(1+Assumptions!$C$13)</f>
        <v>32065585.672600642</v>
      </c>
      <c r="J5" s="59">
        <f>I5*('Price and Financial ratios'!L4+1)*(1+Assumptions!$C$13)</f>
        <v>34489987.401134476</v>
      </c>
      <c r="K5" s="59">
        <f>J5*('Price and Financial ratios'!M4+1)*(1+Assumptions!$C$13)</f>
        <v>37097692.30714123</v>
      </c>
      <c r="L5" s="59">
        <f>K5*('Price and Financial ratios'!N4+1)*(1+Assumptions!$C$13)</f>
        <v>39526120.261941448</v>
      </c>
      <c r="M5" s="59">
        <f>L5*('Price and Financial ratios'!O4+1)*(1+Assumptions!$C$13)</f>
        <v>42113513.962719351</v>
      </c>
      <c r="N5" s="59">
        <f>M5*('Price and Financial ratios'!P4+1)*(1+Assumptions!$C$13)</f>
        <v>44870279.362982541</v>
      </c>
      <c r="O5" s="59">
        <f>N5*('Price and Financial ratios'!Q4+1)*(1+Assumptions!$C$13)</f>
        <v>47579848.81458918</v>
      </c>
      <c r="P5" s="59">
        <f>O5*('Price and Financial ratios'!R4+1)*(1+Assumptions!$C$13)</f>
        <v>50211638.198765375</v>
      </c>
      <c r="Q5" s="59">
        <f>P5*('Price and Financial ratios'!S4+1)*(1+Assumptions!$C$13)</f>
        <v>52989000.037146986</v>
      </c>
      <c r="R5" s="59">
        <f>Q5*('Price and Financial ratios'!T4+1)*(1+Assumptions!$C$13)</f>
        <v>55919986.394823574</v>
      </c>
      <c r="S5" s="59">
        <f>R5*('Price and Financial ratios'!U4+1)*(1+Assumptions!$C$13)</f>
        <v>59013094.721642137</v>
      </c>
      <c r="T5" s="59">
        <f>S5*('Price and Financial ratios'!V4+1)*(1+Assumptions!$C$13)</f>
        <v>62277292.487822928</v>
      </c>
      <c r="U5" s="59">
        <f>T5*('Price and Financial ratios'!W4+1)*(1+Assumptions!$C$13)</f>
        <v>65722043.18224784</v>
      </c>
      <c r="V5" s="59">
        <f>U5*('Price and Financial ratios'!X4+1)*(1+Assumptions!$C$13)</f>
        <v>69357333.748794869</v>
      </c>
      <c r="W5" s="59">
        <f>V5*('Price and Financial ratios'!Y4+1)*(1+Assumptions!$C$13)</f>
        <v>72841810.734779567</v>
      </c>
      <c r="X5" s="59">
        <f>W5*('Price and Financial ratios'!Z4+1)*(1+Assumptions!$C$13)</f>
        <v>76501346.062969744</v>
      </c>
      <c r="Y5" s="59">
        <f>X5*('Price and Financial ratios'!AA4+1)*(1+Assumptions!$C$13)</f>
        <v>80344734.57497263</v>
      </c>
      <c r="Z5" s="59">
        <f>Y5*('Price and Financial ratios'!AB4+1)*(1+Assumptions!$C$13)</f>
        <v>84381212.960741088</v>
      </c>
      <c r="AA5" s="59">
        <f>Z5*('Price and Financial ratios'!AC4+1)*(1+Assumptions!$C$13)</f>
        <v>88620481.956808627</v>
      </c>
      <c r="AB5" s="59">
        <f>AA5*('Price and Financial ratios'!AD4+1)*(1+Assumptions!$C$13)</f>
        <v>93072729.659752324</v>
      </c>
      <c r="AC5" s="59">
        <f>AB5*('Price and Financial ratios'!AE4+1)*(1+Assumptions!$C$13)</f>
        <v>97748656.01091221</v>
      </c>
      <c r="AD5" s="59">
        <f>AC5*('Price and Financial ratios'!AF4+1)*(1+Assumptions!$C$13)</f>
        <v>102659498.51121055</v>
      </c>
      <c r="AE5" s="59">
        <f>AD5*('Price and Financial ratios'!AG4+1)*(1+Assumptions!$C$13)</f>
        <v>107296203.86928153</v>
      </c>
      <c r="AF5" s="59">
        <f>AE5*('Price and Financial ratios'!AH4+1)*(1+Assumptions!$C$13)</f>
        <v>112142330.04948148</v>
      </c>
    </row>
    <row r="6" spans="1:32" s="11" customFormat="1" x14ac:dyDescent="0.35">
      <c r="A6" s="11" t="s">
        <v>20</v>
      </c>
      <c r="C6" s="59">
        <f>C27</f>
        <v>4564775.7961522238</v>
      </c>
      <c r="D6" s="59">
        <f t="shared" ref="D6:AF6" si="1">D27</f>
        <v>5221584.7482083878</v>
      </c>
      <c r="E6" s="59">
        <f>E27</f>
        <v>5906007.9383594738</v>
      </c>
      <c r="F6" s="59">
        <f t="shared" si="1"/>
        <v>6618976.7298103329</v>
      </c>
      <c r="G6" s="59">
        <f t="shared" si="1"/>
        <v>7361451.3686949797</v>
      </c>
      <c r="H6" s="59">
        <f t="shared" si="1"/>
        <v>8134421.8511315072</v>
      </c>
      <c r="I6" s="59">
        <f t="shared" si="1"/>
        <v>8938908.8161888234</v>
      </c>
      <c r="J6" s="59">
        <f t="shared" si="1"/>
        <v>9775964.465550147</v>
      </c>
      <c r="K6" s="59">
        <f t="shared" si="1"/>
        <v>10646673.510682629</v>
      </c>
      <c r="L6" s="59">
        <f t="shared" si="1"/>
        <v>11552154.148347583</v>
      </c>
      <c r="M6" s="59">
        <f t="shared" si="1"/>
        <v>12493559.065311823</v>
      </c>
      <c r="N6" s="59">
        <f t="shared" si="1"/>
        <v>13472076.473147411</v>
      </c>
      <c r="O6" s="59">
        <f t="shared" si="1"/>
        <v>14488931.174034746</v>
      </c>
      <c r="P6" s="59">
        <f t="shared" si="1"/>
        <v>15545385.658512581</v>
      </c>
      <c r="Q6" s="59">
        <f t="shared" si="1"/>
        <v>16642741.236147907</v>
      </c>
      <c r="R6" s="59">
        <f t="shared" si="1"/>
        <v>17782339.200129181</v>
      </c>
      <c r="S6" s="59">
        <f t="shared" si="1"/>
        <v>18965562.026817769</v>
      </c>
      <c r="T6" s="59">
        <f t="shared" si="1"/>
        <v>20193834.611324847</v>
      </c>
      <c r="U6" s="59">
        <f t="shared" si="1"/>
        <v>21468625.540214568</v>
      </c>
      <c r="V6" s="59">
        <f t="shared" si="1"/>
        <v>22791448.402468752</v>
      </c>
      <c r="W6" s="59">
        <f t="shared" si="1"/>
        <v>24163863.139884211</v>
      </c>
      <c r="X6" s="59">
        <f t="shared" si="1"/>
        <v>25587477.438110434</v>
      </c>
      <c r="Y6" s="59">
        <f t="shared" si="1"/>
        <v>27063948.159573629</v>
      </c>
      <c r="Z6" s="59">
        <f t="shared" si="1"/>
        <v>28594982.819572203</v>
      </c>
      <c r="AA6" s="59">
        <f t="shared" si="1"/>
        <v>30182341.106869355</v>
      </c>
      <c r="AB6" s="59">
        <f t="shared" si="1"/>
        <v>31827836.450150505</v>
      </c>
      <c r="AC6" s="59">
        <f t="shared" si="1"/>
        <v>33533337.63175622</v>
      </c>
      <c r="AD6" s="59">
        <f t="shared" si="1"/>
        <v>35300770.450146109</v>
      </c>
      <c r="AE6" s="59">
        <f t="shared" si="1"/>
        <v>37132119.432595372</v>
      </c>
      <c r="AF6" s="59">
        <f t="shared" si="1"/>
        <v>39029429.599673033</v>
      </c>
    </row>
    <row r="7" spans="1:32" x14ac:dyDescent="0.35">
      <c r="A7" t="s">
        <v>21</v>
      </c>
      <c r="C7" s="4">
        <f>Depreciation!C8+Depreciation!C9</f>
        <v>3195404.6913929372</v>
      </c>
      <c r="D7" s="4">
        <f>Depreciation!D8+Depreciation!D9</f>
        <v>3701429.5403975109</v>
      </c>
      <c r="E7" s="4">
        <f>Depreciation!E8+Depreciation!E9</f>
        <v>4236567.8853343911</v>
      </c>
      <c r="F7" s="4">
        <f>Depreciation!F8+Depreciation!F9</f>
        <v>4802164.8204978649</v>
      </c>
      <c r="G7" s="4">
        <f>Depreciation!G8+Depreciation!G9</f>
        <v>5399621.7139972188</v>
      </c>
      <c r="H7" s="4">
        <f>Depreciation!H8+Depreciation!H9</f>
        <v>6030398.4319043402</v>
      </c>
      <c r="I7" s="4">
        <f>Depreciation!I8+Depreciation!I9</f>
        <v>6696015.647122385</v>
      </c>
      <c r="J7" s="4">
        <f>Depreciation!J8+Depreciation!J9</f>
        <v>7398057.236120116</v>
      </c>
      <c r="K7" s="4">
        <f>Depreciation!K8+Depreciation!K9</f>
        <v>8138172.7667910475</v>
      </c>
      <c r="L7" s="4">
        <f>Depreciation!L8+Depreciation!L9</f>
        <v>8918080.080815129</v>
      </c>
      <c r="M7" s="4">
        <f>Depreciation!M8+Depreciation!M9</f>
        <v>9739567.9740235601</v>
      </c>
      <c r="N7" s="4">
        <f>Depreciation!N8+Depreciation!N9</f>
        <v>10604498.978394575</v>
      </c>
      <c r="O7" s="4">
        <f>Depreciation!O8+Depreciation!O9</f>
        <v>11514812.249439938</v>
      </c>
      <c r="P7" s="4">
        <f>Depreciation!P8+Depreciation!P9</f>
        <v>12472526.562878324</v>
      </c>
      <c r="Q7" s="4">
        <f>Depreciation!Q8+Depreciation!Q9</f>
        <v>13479743.424633339</v>
      </c>
      <c r="R7" s="4">
        <f>Depreciation!R8+Depreciation!R9</f>
        <v>14538650.298340291</v>
      </c>
      <c r="S7" s="4">
        <f>Depreciation!S8+Depreciation!S9</f>
        <v>15651523.954697665</v>
      </c>
      <c r="T7" s="4">
        <f>Depreciation!T8+Depreciation!T9</f>
        <v>16820733.947156411</v>
      </c>
      <c r="U7" s="4">
        <f>Depreciation!U8+Depreciation!U9</f>
        <v>18048746.218602899</v>
      </c>
      <c r="V7" s="4">
        <f>Depreciation!V8+Depreciation!V9</f>
        <v>19338126.843860082</v>
      </c>
      <c r="W7" s="4">
        <f>Depreciation!W8+Depreciation!W9</f>
        <v>20691545.913005877</v>
      </c>
      <c r="X7" s="4">
        <f>Depreciation!X8+Depreciation!X9</f>
        <v>22111781.560688883</v>
      </c>
      <c r="Y7" s="4">
        <f>Depreciation!Y8+Depreciation!Y9</f>
        <v>23601724.146808684</v>
      </c>
      <c r="Z7" s="4">
        <f>Depreciation!Z8+Depreciation!Z9</f>
        <v>25164380.594122011</v>
      </c>
      <c r="AA7" s="4">
        <f>Depreciation!AA8+Depreciation!AA9</f>
        <v>26802878.888537064</v>
      </c>
      <c r="AB7" s="4">
        <f>Depreciation!AB8+Depreciation!AB9</f>
        <v>28520472.748066287</v>
      </c>
      <c r="AC7" s="4">
        <f>Depreciation!AC8+Depreciation!AC9</f>
        <v>30320546.466623522</v>
      </c>
      <c r="AD7" s="4">
        <f>Depreciation!AD8+Depreciation!AD9</f>
        <v>32206619.939074408</v>
      </c>
      <c r="AE7" s="4">
        <f>Depreciation!AE8+Depreciation!AE9</f>
        <v>34182353.874180317</v>
      </c>
      <c r="AF7" s="4">
        <f>Depreciation!AF8+Depreciation!AF9</f>
        <v>36251555.20231539</v>
      </c>
    </row>
    <row r="8" spans="1:32" x14ac:dyDescent="0.35">
      <c r="A8" t="s">
        <v>6</v>
      </c>
      <c r="C8" s="4">
        <f ca="1">'Debt worksheet'!C8</f>
        <v>1238147.1710084477</v>
      </c>
      <c r="D8" s="4">
        <f ca="1">'Debt worksheet'!D8</f>
        <v>1690289.5621473338</v>
      </c>
      <c r="E8" s="4">
        <f ca="1">'Debt worksheet'!E8</f>
        <v>2049190.4175659386</v>
      </c>
      <c r="F8" s="4">
        <f ca="1">'Debt worksheet'!F8</f>
        <v>2335266.6904219645</v>
      </c>
      <c r="G8" s="4">
        <f ca="1">'Debt worksheet'!G8</f>
        <v>2584774.596648043</v>
      </c>
      <c r="H8" s="4">
        <f ca="1">'Debt worksheet'!H8</f>
        <v>2803147.7681562915</v>
      </c>
      <c r="I8" s="4">
        <f ca="1">'Debt worksheet'!I8</f>
        <v>3023158.3466686779</v>
      </c>
      <c r="J8" s="4">
        <f ca="1">'Debt worksheet'!J8</f>
        <v>3241895.8213575906</v>
      </c>
      <c r="K8" s="4">
        <f ca="1">'Debt worksheet'!K8</f>
        <v>3455998.6406169906</v>
      </c>
      <c r="L8" s="4">
        <f ca="1">'Debt worksheet'!L8</f>
        <v>3675260.1726818047</v>
      </c>
      <c r="M8" s="4">
        <f ca="1">'Debt worksheet'!M8</f>
        <v>3897691.9559802646</v>
      </c>
      <c r="N8" s="4">
        <f ca="1">'Debt worksheet'!N8</f>
        <v>4120991.5664937594</v>
      </c>
      <c r="O8" s="4">
        <f ca="1">'Debt worksheet'!O8</f>
        <v>4350768.3375690738</v>
      </c>
      <c r="P8" s="4">
        <f ca="1">'Debt worksheet'!P8</f>
        <v>4594089.8761500027</v>
      </c>
      <c r="Q8" s="4">
        <f ca="1">'Debt worksheet'!Q8</f>
        <v>4850330.0743719665</v>
      </c>
      <c r="R8" s="4">
        <f ca="1">'Debt worksheet'!R8</f>
        <v>5118704.3323032698</v>
      </c>
      <c r="S8" s="4">
        <f ca="1">'Debt worksheet'!S8</f>
        <v>5398253.2932616128</v>
      </c>
      <c r="T8" s="4">
        <f ca="1">'Debt worksheet'!T8</f>
        <v>5687825.295527908</v>
      </c>
      <c r="U8" s="4">
        <f ca="1">'Debt worksheet'!U8</f>
        <v>5986057.4515026053</v>
      </c>
      <c r="V8" s="4">
        <f ca="1">'Debt worksheet'!V8</f>
        <v>6291355.259635454</v>
      </c>
      <c r="W8" s="4">
        <f ca="1">'Debt worksheet'!W8</f>
        <v>6614633.5998895988</v>
      </c>
      <c r="X8" s="4">
        <f ca="1">'Debt worksheet'!X8</f>
        <v>6955577.267261914</v>
      </c>
      <c r="Y8" s="4">
        <f ca="1">'Debt worksheet'!Y8</f>
        <v>7313740.8149780491</v>
      </c>
      <c r="Z8" s="4">
        <f ca="1">'Debt worksheet'!Z8</f>
        <v>7688534.9979056325</v>
      </c>
      <c r="AA8" s="4">
        <f ca="1">'Debt worksheet'!AA8</f>
        <v>8079212.1736298474</v>
      </c>
      <c r="AB8" s="4">
        <f ca="1">'Debt worksheet'!AB8</f>
        <v>8484850.5918733999</v>
      </c>
      <c r="AC8" s="4">
        <f ca="1">'Debt worksheet'!AC8</f>
        <v>8904337.4987091254</v>
      </c>
      <c r="AD8" s="4">
        <f ca="1">'Debt worksheet'!AD8</f>
        <v>9336350.9775349665</v>
      </c>
      <c r="AE8" s="4">
        <f ca="1">'Debt worksheet'!AE8</f>
        <v>9798231.5710396338</v>
      </c>
      <c r="AF8" s="4">
        <f ca="1">'Debt worksheet'!AF8</f>
        <v>10290666.573519122</v>
      </c>
    </row>
    <row r="9" spans="1:32" x14ac:dyDescent="0.35">
      <c r="A9" t="s">
        <v>22</v>
      </c>
      <c r="C9" s="4">
        <f ca="1">C5-C6-C7-C8</f>
        <v>-55762.437384215184</v>
      </c>
      <c r="D9" s="4">
        <f t="shared" ref="D9:AF9" ca="1" si="2">D5-D6-D7-D8</f>
        <v>3905475.0874603945</v>
      </c>
      <c r="E9" s="4">
        <f t="shared" ca="1" si="2"/>
        <v>7107881.4970227256</v>
      </c>
      <c r="F9" s="4">
        <f t="shared" ca="1" si="2"/>
        <v>9744173.9888124187</v>
      </c>
      <c r="G9" s="4">
        <f t="shared" ca="1" si="2"/>
        <v>11362353.481064131</v>
      </c>
      <c r="H9" s="4">
        <f t="shared" ca="1" si="2"/>
        <v>12843634.155802898</v>
      </c>
      <c r="I9" s="4">
        <f t="shared" ca="1" si="2"/>
        <v>13407502.862620756</v>
      </c>
      <c r="J9" s="4">
        <f t="shared" ca="1" si="2"/>
        <v>14074069.878106622</v>
      </c>
      <c r="K9" s="4">
        <f t="shared" ca="1" si="2"/>
        <v>14856847.389050566</v>
      </c>
      <c r="L9" s="4">
        <f t="shared" ca="1" si="2"/>
        <v>15380625.860096931</v>
      </c>
      <c r="M9" s="4">
        <f t="shared" ca="1" si="2"/>
        <v>15982694.967403702</v>
      </c>
      <c r="N9" s="4">
        <f t="shared" ca="1" si="2"/>
        <v>16672712.344946796</v>
      </c>
      <c r="O9" s="4">
        <f t="shared" ca="1" si="2"/>
        <v>17225337.053545423</v>
      </c>
      <c r="P9" s="4">
        <f t="shared" ca="1" si="2"/>
        <v>17599636.10122446</v>
      </c>
      <c r="Q9" s="4">
        <f t="shared" ca="1" si="2"/>
        <v>18016185.301993769</v>
      </c>
      <c r="R9" s="4">
        <f t="shared" ca="1" si="2"/>
        <v>18480292.564050831</v>
      </c>
      <c r="S9" s="4">
        <f t="shared" ca="1" si="2"/>
        <v>18997755.446865089</v>
      </c>
      <c r="T9" s="4">
        <f t="shared" ca="1" si="2"/>
        <v>19574898.633813761</v>
      </c>
      <c r="U9" s="4">
        <f t="shared" ca="1" si="2"/>
        <v>20218613.971927766</v>
      </c>
      <c r="V9" s="4">
        <f t="shared" ca="1" si="2"/>
        <v>20936403.242830575</v>
      </c>
      <c r="W9" s="4">
        <f t="shared" ca="1" si="2"/>
        <v>21371768.081999879</v>
      </c>
      <c r="X9" s="4">
        <f t="shared" ca="1" si="2"/>
        <v>21846509.796908513</v>
      </c>
      <c r="Y9" s="4">
        <f t="shared" ca="1" si="2"/>
        <v>22365321.453612268</v>
      </c>
      <c r="Z9" s="4">
        <f t="shared" ca="1" si="2"/>
        <v>22933314.549141243</v>
      </c>
      <c r="AA9" s="4">
        <f t="shared" ca="1" si="2"/>
        <v>23556049.787772361</v>
      </c>
      <c r="AB9" s="4">
        <f t="shared" ca="1" si="2"/>
        <v>24239569.869662132</v>
      </c>
      <c r="AC9" s="4">
        <f t="shared" ca="1" si="2"/>
        <v>24990434.413823344</v>
      </c>
      <c r="AD9" s="4">
        <f t="shared" ca="1" si="2"/>
        <v>25815757.14445506</v>
      </c>
      <c r="AE9" s="4">
        <f t="shared" ca="1" si="2"/>
        <v>26183498.991466209</v>
      </c>
      <c r="AF9" s="4">
        <f t="shared" ca="1" si="2"/>
        <v>26570678.673973937</v>
      </c>
    </row>
    <row r="12" spans="1:32" x14ac:dyDescent="0.35">
      <c r="A12" t="s">
        <v>79</v>
      </c>
      <c r="C12" s="2">
        <f>Assumptions!$C$25*Assumptions!D9*Assumptions!D13</f>
        <v>4080449.9961522236</v>
      </c>
      <c r="D12" s="2">
        <f>Assumptions!$C$25*Assumptions!E9*Assumptions!E13</f>
        <v>4231622.8130083876</v>
      </c>
      <c r="E12" s="2">
        <f>Assumptions!$C$25*Assumptions!F9*Assumptions!F13</f>
        <v>4388396.2916978737</v>
      </c>
      <c r="F12" s="2">
        <f>Assumptions!$C$25*Assumptions!G9*Assumptions!G13</f>
        <v>4550977.9259594595</v>
      </c>
      <c r="G12" s="2">
        <f>Assumptions!$C$25*Assumptions!H9*Assumptions!H13</f>
        <v>4719582.8967754887</v>
      </c>
      <c r="H12" s="2">
        <f>Assumptions!$C$25*Assumptions!I9*Assumptions!I13</f>
        <v>4894434.3571694437</v>
      </c>
      <c r="I12" s="2">
        <f>Assumptions!$C$25*Assumptions!J9*Assumptions!J13</f>
        <v>5075763.7275547218</v>
      </c>
      <c r="J12" s="2">
        <f>Assumptions!$C$25*Assumptions!K9*Assumptions!K13</f>
        <v>5263811.0020255176</v>
      </c>
      <c r="K12" s="2">
        <f>Assumptions!$C$25*Assumptions!L9*Assumptions!L13</f>
        <v>5458825.0659951866</v>
      </c>
      <c r="L12" s="2">
        <f>Assumptions!$C$25*Assumptions!M9*Assumptions!M13</f>
        <v>5661064.0256025093</v>
      </c>
      <c r="M12" s="2">
        <f>Assumptions!$C$25*Assumptions!N9*Assumptions!N13</f>
        <v>5870795.5493218116</v>
      </c>
      <c r="N12" s="2">
        <f>Assumptions!$C$25*Assumptions!O9*Assumptions!O13</f>
        <v>6088297.2222290905</v>
      </c>
      <c r="O12" s="2">
        <f>Assumptions!$C$25*Assumptions!P9*Assumptions!P13</f>
        <v>6313856.913393015</v>
      </c>
      <c r="P12" s="2">
        <f>Assumptions!$C$25*Assumptions!Q9*Assumptions!Q13</f>
        <v>6547773.1568770511</v>
      </c>
      <c r="Q12" s="2">
        <f>Assumptions!$C$25*Assumptions!R9*Assumptions!R13</f>
        <v>6790355.5468570013</v>
      </c>
      <c r="R12" s="2">
        <f>Assumptions!$C$25*Assumptions!S9*Assumptions!S13</f>
        <v>7041925.1473768558</v>
      </c>
      <c r="S12" s="2">
        <f>Assumptions!$C$25*Assumptions!T9*Assumptions!T13</f>
        <v>7302814.9172853362</v>
      </c>
      <c r="T12" s="2">
        <f>Assumptions!$C$25*Assumptions!U9*Assumptions!U13</f>
        <v>7573370.1509155175</v>
      </c>
      <c r="U12" s="2">
        <f>Assumptions!$C$25*Assumptions!V9*Assumptions!V13</f>
        <v>7853948.9350907672</v>
      </c>
      <c r="V12" s="2">
        <f>Assumptions!$C$25*Assumptions!W9*Assumptions!W13</f>
        <v>8144922.6230618842</v>
      </c>
      <c r="W12" s="2">
        <f>Assumptions!$C$25*Assumptions!X9*Assumptions!X13</f>
        <v>8446676.3260026984</v>
      </c>
      <c r="X12" s="2">
        <f>Assumptions!$C$25*Assumptions!Y9*Assumptions!Y13</f>
        <v>8759609.4227146264</v>
      </c>
      <c r="Y12" s="2">
        <f>Assumptions!$C$25*Assumptions!Z9*Assumptions!Z13</f>
        <v>9084136.0882148221</v>
      </c>
      <c r="Z12" s="2">
        <f>Assumptions!$C$25*Assumptions!AA9*Assumptions!AA13</f>
        <v>9420685.8419074658</v>
      </c>
      <c r="AA12" s="2">
        <f>Assumptions!$C$25*Assumptions!AB9*Assumptions!AB13</f>
        <v>9769704.116063768</v>
      </c>
      <c r="AB12" s="2">
        <f>Assumptions!$C$25*Assumptions!AC9*Assumptions!AC13</f>
        <v>10131652.845363064</v>
      </c>
      <c r="AC12" s="2">
        <f>Assumptions!$C$25*Assumptions!AD9*Assumptions!AD13</f>
        <v>10507011.078275267</v>
      </c>
      <c r="AD12" s="2">
        <f>Assumptions!$C$25*Assumptions!AE9*Assumptions!AE13</f>
        <v>10896275.611093853</v>
      </c>
      <c r="AE12" s="2">
        <f>Assumptions!$C$25*Assumptions!AF9*Assumptions!AF13</f>
        <v>11299961.64545856</v>
      </c>
      <c r="AF12" s="2">
        <f>Assumptions!$C$25*Assumptions!AG9*Assumptions!AG13</f>
        <v>11718603.470238037</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484325.79999999993</v>
      </c>
      <c r="D14" s="5">
        <f>Assumptions!E122*Assumptions!E9</f>
        <v>989961.93519999983</v>
      </c>
      <c r="E14" s="5">
        <f>Assumptions!F122*Assumptions!F9</f>
        <v>1517611.6466616001</v>
      </c>
      <c r="F14" s="5">
        <f>Assumptions!G122*Assumptions!G9</f>
        <v>2067998.8038508734</v>
      </c>
      <c r="G14" s="5">
        <f>Assumptions!H122*Assumptions!H9</f>
        <v>2641868.4719194905</v>
      </c>
      <c r="H14" s="5">
        <f>Assumptions!I122*Assumptions!I9</f>
        <v>3239987.4939620635</v>
      </c>
      <c r="I14" s="5">
        <f>Assumptions!J122*Assumptions!J9</f>
        <v>3863145.0886341007</v>
      </c>
      <c r="J14" s="5">
        <f>Assumptions!K122*Assumptions!K9</f>
        <v>4512153.4635246303</v>
      </c>
      <c r="K14" s="5">
        <f>Assumptions!L122*Assumptions!L9</f>
        <v>5187848.4446874429</v>
      </c>
      <c r="L14" s="5">
        <f>Assumptions!M122*Assumptions!M9</f>
        <v>5891090.1227450734</v>
      </c>
      <c r="M14" s="5">
        <f>Assumptions!N122*Assumptions!N9</f>
        <v>6622763.5159900123</v>
      </c>
      <c r="N14" s="5">
        <f>Assumptions!O122*Assumptions!O9</f>
        <v>7383779.2509183194</v>
      </c>
      <c r="O14" s="5">
        <f>Assumptions!P122*Assumptions!P9</f>
        <v>8175074.2606417313</v>
      </c>
      <c r="P14" s="5">
        <f>Assumptions!Q122*Assumptions!Q9</f>
        <v>8997612.5016355291</v>
      </c>
      <c r="Q14" s="5">
        <f>Assumptions!R122*Assumptions!R9</f>
        <v>9852385.6892909054</v>
      </c>
      <c r="R14" s="5">
        <f>Assumptions!S122*Assumptions!S9</f>
        <v>10740414.052752325</v>
      </c>
      <c r="S14" s="5">
        <f>Assumptions!T122*Assumptions!T9</f>
        <v>11662747.109532431</v>
      </c>
      <c r="T14" s="5">
        <f>Assumptions!U122*Assumptions!U9</f>
        <v>12620464.46040933</v>
      </c>
      <c r="U14" s="5">
        <f>Assumptions!V122*Assumptions!V9</f>
        <v>13614676.605123799</v>
      </c>
      <c r="V14" s="5">
        <f>Assumptions!W122*Assumptions!W9</f>
        <v>14646525.779406868</v>
      </c>
      <c r="W14" s="5">
        <f>Assumptions!X122*Assumptions!X9</f>
        <v>15717186.813881513</v>
      </c>
      <c r="X14" s="5">
        <f>Assumptions!Y122*Assumptions!Y9</f>
        <v>16827868.015395805</v>
      </c>
      <c r="Y14" s="5">
        <f>Assumptions!Z122*Assumptions!Z9</f>
        <v>17979812.071358807</v>
      </c>
      <c r="Z14" s="5">
        <f>Assumptions!AA122*Assumptions!AA9</f>
        <v>19174296.977664739</v>
      </c>
      <c r="AA14" s="5">
        <f>Assumptions!AB122*Assumptions!AB9</f>
        <v>20412636.990805585</v>
      </c>
      <c r="AB14" s="5">
        <f>Assumptions!AC122*Assumptions!AC9</f>
        <v>21696183.604787443</v>
      </c>
      <c r="AC14" s="5">
        <f>Assumptions!AD122*Assumptions!AD9</f>
        <v>23026326.553480953</v>
      </c>
      <c r="AD14" s="5">
        <f>Assumptions!AE122*Assumptions!AE9</f>
        <v>24404494.839052256</v>
      </c>
      <c r="AE14" s="5">
        <f>Assumptions!AF122*Assumptions!AF9</f>
        <v>25832157.787136815</v>
      </c>
      <c r="AF14" s="5">
        <f>Assumptions!AG122*Assumptions!AG9</f>
        <v>27310826.129434992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195</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4564775.7961522238</v>
      </c>
      <c r="D27" s="2">
        <f t="shared" ref="D27:AF27" si="8">D12+D13+D14+D19+D20+D22+D24+D25</f>
        <v>5221584.7482083878</v>
      </c>
      <c r="E27" s="2">
        <f t="shared" si="8"/>
        <v>5906007.9383594738</v>
      </c>
      <c r="F27" s="2">
        <f t="shared" si="8"/>
        <v>6618976.7298103329</v>
      </c>
      <c r="G27" s="2">
        <f t="shared" si="8"/>
        <v>7361451.3686949797</v>
      </c>
      <c r="H27" s="2">
        <f t="shared" si="8"/>
        <v>8134421.8511315072</v>
      </c>
      <c r="I27" s="2">
        <f t="shared" si="8"/>
        <v>8938908.8161888234</v>
      </c>
      <c r="J27" s="2">
        <f t="shared" si="8"/>
        <v>9775964.465550147</v>
      </c>
      <c r="K27" s="2">
        <f t="shared" si="8"/>
        <v>10646673.510682629</v>
      </c>
      <c r="L27" s="2">
        <f t="shared" si="8"/>
        <v>11552154.148347583</v>
      </c>
      <c r="M27" s="2">
        <f t="shared" si="8"/>
        <v>12493559.065311823</v>
      </c>
      <c r="N27" s="2">
        <f t="shared" si="8"/>
        <v>13472076.473147411</v>
      </c>
      <c r="O27" s="2">
        <f t="shared" si="8"/>
        <v>14488931.174034746</v>
      </c>
      <c r="P27" s="2">
        <f t="shared" si="8"/>
        <v>15545385.658512581</v>
      </c>
      <c r="Q27" s="2">
        <f t="shared" si="8"/>
        <v>16642741.236147907</v>
      </c>
      <c r="R27" s="2">
        <f t="shared" si="8"/>
        <v>17782339.200129181</v>
      </c>
      <c r="S27" s="2">
        <f t="shared" si="8"/>
        <v>18965562.026817769</v>
      </c>
      <c r="T27" s="2">
        <f t="shared" si="8"/>
        <v>20193834.611324847</v>
      </c>
      <c r="U27" s="2">
        <f t="shared" si="8"/>
        <v>21468625.540214568</v>
      </c>
      <c r="V27" s="2">
        <f t="shared" si="8"/>
        <v>22791448.402468752</v>
      </c>
      <c r="W27" s="2">
        <f t="shared" si="8"/>
        <v>24163863.139884211</v>
      </c>
      <c r="X27" s="2">
        <f t="shared" si="8"/>
        <v>25587477.438110434</v>
      </c>
      <c r="Y27" s="2">
        <f t="shared" si="8"/>
        <v>27063948.159573629</v>
      </c>
      <c r="Z27" s="2">
        <f t="shared" si="8"/>
        <v>28594982.819572203</v>
      </c>
      <c r="AA27" s="2">
        <f t="shared" si="8"/>
        <v>30182341.106869355</v>
      </c>
      <c r="AB27" s="2">
        <f t="shared" si="8"/>
        <v>31827836.450150505</v>
      </c>
      <c r="AC27" s="2">
        <f t="shared" si="8"/>
        <v>33533337.63175622</v>
      </c>
      <c r="AD27" s="2">
        <f t="shared" si="8"/>
        <v>35300770.450146109</v>
      </c>
      <c r="AE27" s="2">
        <f t="shared" si="8"/>
        <v>37132119.432595372</v>
      </c>
      <c r="AF27" s="2">
        <f t="shared" si="8"/>
        <v>39029429.599673033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3W2DU3RAJ5R2-1900874439-752</_dlc_DocId>
    <_dlc_DocIdUrl xmlns="f54e2983-00ce-40fc-8108-18f351fc47bf">
      <Url>https://dia.cohesion.net.nz/Sites/LGV/TWRP/CAE/_layouts/15/DocIdRedir.aspx?ID=3W2DU3RAJ5R2-1900874439-752</Url>
      <Description>3W2DU3RAJ5R2-1900874439-752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http://schemas.openxmlformats.org/package/2006/metadata/core-properties"/>
    <ds:schemaRef ds:uri="http://schemas.microsoft.com/office/infopath/2007/PartnerControls"/>
    <ds:schemaRef ds:uri="http://purl.org/dc/terms/"/>
    <ds:schemaRef ds:uri="65b6d800-2dda-48d6-88d8-9e2b35e6f7ea"/>
    <ds:schemaRef ds:uri="08a23fc5-e034-477c-ac83-93bc1440f322"/>
    <ds:schemaRef ds:uri="http://schemas.microsoft.com/office/2006/documentManagement/types"/>
    <ds:schemaRef ds:uri="http://schemas.microsoft.com/sharepoint/v3"/>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9197E2A-1015-49BA-989A-BF0910925F5F}"/>
</file>

<file path=customXml/itemProps4.xml><?xml version="1.0" encoding="utf-8"?>
<ds:datastoreItem xmlns:ds="http://schemas.openxmlformats.org/officeDocument/2006/customXml" ds:itemID="{046C0CB3-D4B0-4696-A016-1C63228191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2021-07-05T14:28:47Z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c1084a4a-7941-450c-9066-26aa7375efed</vt:lpwstr>
  </property>
</Properties>
</file>